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8505" windowHeight="4320" tabRatio="917"/>
  </bookViews>
  <sheets>
    <sheet name="EP15A-3" sheetId="12" r:id="rId1"/>
    <sheet name="Table6" sheetId="13" r:id="rId2"/>
    <sheet name="Table7" sheetId="14" r:id="rId3"/>
    <sheet name="Table15A" sheetId="15" r:id="rId4"/>
  </sheets>
  <definedNames>
    <definedName name="Excel_BuiltIn__FilterDatabase_1">#REF!</definedName>
  </definedNames>
  <calcPr calcId="125725"/>
</workbook>
</file>

<file path=xl/calcChain.xml><?xml version="1.0" encoding="utf-8"?>
<calcChain xmlns="http://schemas.openxmlformats.org/spreadsheetml/2006/main">
  <c r="E6" i="13"/>
  <c r="E7"/>
  <c r="E8"/>
  <c r="F8"/>
  <c r="F6"/>
  <c r="F7"/>
  <c r="E40" i="12"/>
  <c r="F5" i="13"/>
  <c r="E5"/>
  <c r="F71" i="12"/>
  <c r="V16" i="15"/>
  <c r="U16"/>
  <c r="T16"/>
  <c r="V14"/>
  <c r="U14"/>
  <c r="T14"/>
  <c r="V12"/>
  <c r="U12"/>
  <c r="T12"/>
  <c r="V10"/>
  <c r="U10"/>
  <c r="T10"/>
  <c r="V8"/>
  <c r="U8"/>
  <c r="T8"/>
  <c r="G8" i="13" l="1"/>
  <c r="K43" i="12" s="1"/>
  <c r="G7" i="13"/>
  <c r="K42" i="12" s="1"/>
  <c r="M40" l="1"/>
  <c r="I41"/>
  <c r="M41"/>
  <c r="G5" i="13" l="1"/>
  <c r="E42" i="12" s="1"/>
  <c r="G40" s="1"/>
  <c r="G71" l="1"/>
  <c r="C71"/>
  <c r="C68"/>
  <c r="I63"/>
  <c r="I60"/>
  <c r="L49"/>
  <c r="I49"/>
  <c r="F49"/>
  <c r="C49"/>
  <c r="L48"/>
  <c r="I48"/>
  <c r="F48"/>
  <c r="C48"/>
  <c r="M43"/>
  <c r="L51" s="1"/>
  <c r="I43"/>
  <c r="I51" s="1"/>
  <c r="M42"/>
  <c r="L50" s="1"/>
  <c r="I42"/>
  <c r="I50" s="1"/>
  <c r="G42"/>
  <c r="F50" s="1"/>
  <c r="K41"/>
  <c r="E41"/>
  <c r="K40"/>
  <c r="I40"/>
  <c r="C40"/>
  <c r="C41" s="1"/>
  <c r="C43" s="1"/>
  <c r="C51" s="1"/>
  <c r="F30"/>
  <c r="F29"/>
  <c r="E29"/>
  <c r="G29" s="1"/>
  <c r="I28" s="1"/>
  <c r="F28"/>
  <c r="F26"/>
  <c r="F25"/>
  <c r="E25"/>
  <c r="F24"/>
  <c r="J19"/>
  <c r="K19" s="1"/>
  <c r="I19"/>
  <c r="H19"/>
  <c r="J18"/>
  <c r="K18" s="1"/>
  <c r="I18"/>
  <c r="H18"/>
  <c r="J17"/>
  <c r="K17" s="1"/>
  <c r="I17"/>
  <c r="H17"/>
  <c r="J16"/>
  <c r="K16" s="1"/>
  <c r="I16"/>
  <c r="H16"/>
  <c r="M15"/>
  <c r="L15"/>
  <c r="J63" s="1"/>
  <c r="J15"/>
  <c r="K15" s="1"/>
  <c r="I15"/>
  <c r="H15"/>
  <c r="J12"/>
  <c r="K12" s="1"/>
  <c r="I12"/>
  <c r="H12"/>
  <c r="J11"/>
  <c r="K11" s="1"/>
  <c r="I11"/>
  <c r="H11"/>
  <c r="J10"/>
  <c r="K10" s="1"/>
  <c r="I10"/>
  <c r="H10"/>
  <c r="J9"/>
  <c r="K9" s="1"/>
  <c r="I9"/>
  <c r="H9"/>
  <c r="M8"/>
  <c r="L8"/>
  <c r="J60" s="1"/>
  <c r="J8"/>
  <c r="K8" s="1"/>
  <c r="I8"/>
  <c r="H8"/>
  <c r="C42" l="1"/>
  <c r="C50" s="1"/>
  <c r="G6" i="13"/>
  <c r="E43" i="12" s="1"/>
  <c r="G41" s="1"/>
  <c r="G43" s="1"/>
  <c r="F51" s="1"/>
  <c r="G25"/>
  <c r="I24" s="1"/>
  <c r="N24" s="1"/>
  <c r="H71"/>
  <c r="I71"/>
  <c r="N71" s="1"/>
  <c r="I68"/>
  <c r="N68" s="1"/>
  <c r="H68"/>
  <c r="N28"/>
  <c r="J50" s="1"/>
  <c r="J48"/>
  <c r="N8"/>
  <c r="N15"/>
  <c r="E24"/>
  <c r="O8"/>
  <c r="O15"/>
  <c r="E28"/>
  <c r="E30" l="1"/>
  <c r="G28"/>
  <c r="P24"/>
  <c r="K60"/>
  <c r="E26"/>
  <c r="G24"/>
  <c r="K63"/>
  <c r="P28"/>
  <c r="D48"/>
  <c r="D50"/>
  <c r="J51" l="1"/>
  <c r="J49"/>
  <c r="I25"/>
  <c r="I26"/>
  <c r="I30"/>
  <c r="I29"/>
  <c r="D51"/>
  <c r="D49"/>
  <c r="N29" l="1"/>
  <c r="P29" s="1"/>
  <c r="N30"/>
  <c r="N25"/>
  <c r="P25" s="1"/>
  <c r="N26"/>
  <c r="L60" l="1"/>
  <c r="B68" s="1"/>
  <c r="P26"/>
  <c r="G50"/>
  <c r="G48"/>
  <c r="L63"/>
  <c r="B71" s="1"/>
  <c r="P30"/>
  <c r="M50"/>
  <c r="M48"/>
  <c r="M49" l="1"/>
  <c r="M51"/>
  <c r="G49"/>
  <c r="G51"/>
  <c r="D71"/>
  <c r="E71"/>
  <c r="D68"/>
  <c r="E68"/>
  <c r="U15" i="15" l="1"/>
  <c r="U13"/>
  <c r="U11"/>
  <c r="U9"/>
  <c r="T7"/>
  <c r="T15"/>
  <c r="V15" s="1"/>
  <c r="T13"/>
  <c r="V13" s="1"/>
  <c r="T11"/>
  <c r="V11" s="1"/>
  <c r="F68" i="12" s="1"/>
  <c r="G68" s="1"/>
  <c r="K68" s="1"/>
  <c r="T9" i="15"/>
  <c r="V9" s="1"/>
  <c r="U7"/>
  <c r="K71" i="12"/>
  <c r="J71"/>
  <c r="J68" l="1"/>
  <c r="V7" i="15"/>
  <c r="L71" i="12"/>
  <c r="L68"/>
</calcChain>
</file>

<file path=xl/comments1.xml><?xml version="1.0" encoding="utf-8"?>
<comments xmlns="http://schemas.openxmlformats.org/spreadsheetml/2006/main">
  <authors>
    <author>Гена</author>
  </authors>
  <commentList>
    <comment ref="B2" authorId="0">
      <text>
        <r>
          <rPr>
            <b/>
            <sz val="10"/>
            <color indexed="81"/>
            <rFont val="Tahoma"/>
            <family val="2"/>
            <charset val="204"/>
          </rPr>
          <t>Исследуемый Аналит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04"/>
          </rPr>
          <t>Повторы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Количество Повторов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Уровни Контрольного Материала ВОК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04"/>
          </rPr>
          <t>Количество Уровней</t>
        </r>
      </text>
    </comment>
    <comment ref="B3" authorId="0">
      <text>
        <r>
          <rPr>
            <b/>
            <sz val="10"/>
            <color indexed="81"/>
            <rFont val="Tahoma"/>
            <family val="2"/>
            <charset val="204"/>
          </rPr>
          <t>Единицы Измерения</t>
        </r>
      </text>
    </comment>
    <comment ref="D3" authorId="0">
      <text>
        <r>
          <rPr>
            <b/>
            <sz val="10"/>
            <color indexed="81"/>
            <rFont val="Tahoma"/>
            <family val="2"/>
            <charset val="204"/>
          </rPr>
          <t>Единицы Измерения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Дни Исследования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Количество Дней Исследования 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МедТехнолог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ФИО МедТехнолога</t>
        </r>
      </text>
    </commen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>Результаты Измерений</t>
        </r>
      </text>
    </comment>
    <comment ref="H5" authorId="0">
      <text>
        <r>
          <rPr>
            <b/>
            <sz val="10"/>
            <color indexed="81"/>
            <rFont val="Tahoma"/>
            <family val="2"/>
            <charset val="204"/>
          </rPr>
          <t>Описательная Статистика Результатов Измерений</t>
        </r>
      </text>
    </comment>
    <comment ref="L5" authorId="0">
      <text>
        <r>
          <rPr>
            <b/>
            <sz val="10"/>
            <color indexed="81"/>
            <rFont val="Tahoma"/>
            <family val="2"/>
            <charset val="204"/>
          </rPr>
          <t>Тест Граббса для идентификации выбросов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>Первый Уровень Контрольного Материала ВОК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Даты Выполнения Исследований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Повторы 1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Повторы 2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Повторы 3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Повторы 4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Повторы 5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Сумма по Дням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Среднее по Дням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Стандартное Отклонение по Дням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04"/>
          </rPr>
          <t>Дисперсии по Дням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Среднее всех Результатов Измерений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Стандартное Отклонение всех Результатов Измерений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Верхняя Граница Теста Граббса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Нижняя Граница Теста Граббса</t>
        </r>
      </text>
    </comment>
    <comment ref="B13" authorId="0">
      <text>
        <r>
          <rPr>
            <b/>
            <sz val="10"/>
            <color indexed="81"/>
            <rFont val="Tahoma"/>
            <family val="2"/>
            <charset val="204"/>
          </rPr>
          <t>Второй Уровень Контрольного Материала ВОК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Даты Выполнения Исследований 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Повторы 1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Повторы 2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Повторы 3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Повторы 4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Повторы 5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04"/>
          </rPr>
          <t>Сумма по Дням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04"/>
          </rPr>
          <t>Среднее по Дням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>Стандартное Отклонение по Дням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04"/>
          </rPr>
          <t>Дисперсии по Дням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04"/>
          </rPr>
          <t>Среднее всех Результатов Измерений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04"/>
          </rPr>
          <t>Стандартное Отклонение всех Результатов Измерений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04"/>
          </rPr>
          <t>Верхняя Граница Теста Граббса</t>
        </r>
      </text>
    </comment>
    <comment ref="O14" authorId="0">
      <text>
        <r>
          <rPr>
            <b/>
            <sz val="9"/>
            <color indexed="81"/>
            <rFont val="Tahoma"/>
            <family val="2"/>
            <charset val="204"/>
          </rPr>
          <t>Нижняя Граница Теста Граббса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Статистика Однофакторного Дисперсионного Анализа</t>
        </r>
      </text>
    </comment>
    <comment ref="H2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Расчёты </t>
        </r>
      </text>
    </comment>
    <comment ref="B22" authorId="0">
      <text>
        <r>
          <rPr>
            <b/>
            <sz val="10"/>
            <color indexed="81"/>
            <rFont val="Tahoma"/>
            <family val="2"/>
            <charset val="204"/>
          </rPr>
          <t>Первый Уровень Контрольного Материала ВОК</t>
        </r>
      </text>
    </comment>
    <comment ref="B23" authorId="0">
      <text>
        <r>
          <rPr>
            <b/>
            <sz val="10"/>
            <color indexed="81"/>
            <rFont val="Tahoma"/>
            <family val="2"/>
            <charset val="204"/>
          </rPr>
          <t>Источники Вариации</t>
        </r>
      </text>
    </comment>
    <comment ref="E23" authorId="0">
      <text>
        <r>
          <rPr>
            <b/>
            <sz val="10"/>
            <color indexed="81"/>
            <rFont val="Tahoma"/>
            <family val="2"/>
            <charset val="204"/>
          </rPr>
          <t>Суммы Квадратов Отклонений</t>
        </r>
      </text>
    </comment>
    <comment ref="F23" authorId="0">
      <text>
        <r>
          <rPr>
            <b/>
            <sz val="10"/>
            <color indexed="81"/>
            <rFont val="Tahoma"/>
            <family val="2"/>
            <charset val="204"/>
          </rPr>
          <t>Степени Свободы F-распределения</t>
        </r>
      </text>
    </comment>
    <comment ref="G23" authorId="0">
      <text>
        <r>
          <rPr>
            <b/>
            <sz val="10"/>
            <color indexed="81"/>
            <rFont val="Tahoma"/>
            <family val="2"/>
            <charset val="204"/>
          </rPr>
          <t>Средние Квадратичные</t>
        </r>
      </text>
    </comment>
    <comment ref="H23" authorId="0">
      <text>
        <r>
          <rPr>
            <b/>
            <sz val="10"/>
            <color indexed="81"/>
            <rFont val="Tahoma"/>
            <family val="2"/>
            <charset val="204"/>
          </rPr>
          <t>Компоненты Дисперсии</t>
        </r>
      </text>
    </comment>
    <comment ref="K23" authorId="0">
      <text>
        <r>
          <rPr>
            <b/>
            <sz val="10"/>
            <color indexed="81"/>
            <rFont val="Tahoma"/>
            <family val="2"/>
            <charset val="204"/>
          </rPr>
          <t>Расчёт величин НеПрицизионности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МежСерийная Вариация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Сумма Квадратов Отклонений</t>
        </r>
      </text>
    </comment>
    <comment ref="F2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Межгрупповая Степень Свободы 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Средняя Квадратичная</t>
        </r>
      </text>
    </comment>
    <comment ref="H24" author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Дисперсия</t>
        </r>
      </text>
    </comment>
    <comment ref="K24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M24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O24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(СV)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04"/>
          </rPr>
          <t>ВнутриСерийная Вариация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Сумма Квадратов Отклонений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Внутригрупповая Степень Свободы 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Средняя Квадратичная</t>
        </r>
      </text>
    </comment>
    <comment ref="H25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Дисперсия</t>
        </r>
      </text>
    </comment>
    <comment ref="K25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НеПрецизионность</t>
        </r>
      </text>
    </comment>
    <comment ref="M25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НеПрецизионность (SD)</t>
        </r>
      </text>
    </comment>
    <comment ref="O25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НеПрецизионность (CV)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>Общая Вариация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Общая Сумма Квадратов Отклонений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Общая Степень Свободы </t>
        </r>
      </text>
    </comment>
    <comment ref="I26" authorId="0">
      <text>
        <r>
          <rPr>
            <b/>
            <sz val="10"/>
            <color indexed="81"/>
            <rFont val="Tahoma"/>
            <family val="2"/>
            <charset val="204"/>
          </rPr>
          <t>Если величина MS1 будет меньше или равна MS2, то тогда Vb=0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 (SD)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 (CV)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Второй Уровень Контрольного Материала ВОК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МежСерийная Вариация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Сумма Квадратов Отклонений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Межгрупповая Степень Свободы 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Средняя Квадратичная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Дисперсия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M28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(СV)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ВнутриСерийная Вариация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Сумма Квадратов Отклонений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Внутригрупповая Степень Свободы 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Внутригрупповая Средняя Квадратичная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Дисперсия</t>
        </r>
      </text>
    </comment>
    <comment ref="K29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Прецизионность</t>
        </r>
      </text>
    </comment>
    <comment ref="M29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НеПрецизионность (SD)</t>
        </r>
      </text>
    </comment>
    <comment ref="O29" authorId="0">
      <text>
        <r>
          <rPr>
            <b/>
            <sz val="9"/>
            <color indexed="81"/>
            <rFont val="Tahoma"/>
            <family val="2"/>
            <charset val="204"/>
          </rPr>
          <t>МежГрупповая НеПрецизионность (CV)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Общая Вариация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>Общая Сумма Квадратов Отклонений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Общая Степень Свободы </t>
        </r>
      </text>
    </comment>
    <comment ref="I30" authorId="0">
      <text>
        <r>
          <rPr>
            <b/>
            <sz val="10"/>
            <color indexed="81"/>
            <rFont val="Tahoma"/>
            <family val="2"/>
            <charset val="204"/>
          </rPr>
          <t>Если величина MS1 будет меньше или равна MS2, то тогда Vb=0</t>
        </r>
      </text>
    </comment>
    <comment ref="K30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M30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 (SD)</t>
        </r>
      </text>
    </comment>
    <comment ref="O30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 (CV)</t>
        </r>
      </text>
    </comment>
    <comment ref="B32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Cпецификация Производителя по Прецизионности 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Спецификация Производителя по Прецизионности для Первого Уровня Контрольного Материала </t>
        </r>
      </text>
    </comment>
    <comment ref="H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Спецификация Производителя по Прецизионности для Второго Уровня Контрольного Материала 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(СV)</t>
        </r>
      </text>
    </comment>
    <comment ref="H34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J34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L34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(CV)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(CV)</t>
        </r>
      </text>
    </comment>
    <comment ref="H35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L35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(CV)</t>
        </r>
      </text>
    </comment>
    <comment ref="B3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 Верхней Верификационной Границы (UVL) для Спецификаций Производителя по Прецизионности  </t>
        </r>
      </text>
    </comment>
    <comment ref="B3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 Верхней Верификационной Границы для Спецификаций Производителя по Прецизионности для Первого Уровня Контрольного Материала   </t>
        </r>
      </text>
    </comment>
    <comment ref="H3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 Верхней Верификационной Границы для Спецификаций Производителя по Прецизионности для Второго Уровня Контрольного Материала   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H39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</t>
        </r>
      </text>
    </comment>
    <comment ref="J39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НеПрецизионность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Повторяемости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204"/>
          </rPr>
          <t>Отношение Спецификаций (Claim Ratio),p(SD)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204"/>
          </rPr>
          <t>UVL Фактор F из Таблицы 7, полученный на основании величины DFwlSD</t>
        </r>
      </text>
    </comment>
    <comment ref="H40" author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Повторяемости</t>
        </r>
      </text>
    </comment>
    <comment ref="J40" authorId="0">
      <text>
        <r>
          <rPr>
            <b/>
            <sz val="9"/>
            <color indexed="81"/>
            <rFont val="Tahoma"/>
            <family val="2"/>
            <charset val="204"/>
          </rPr>
          <t>Отношение Спецификаций (Claim Ratio),p(SD)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04"/>
          </rPr>
          <t>UVL Фактор F из Таблицы 7, полученный на основании величины DFwlSD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UVL Фактор F из Таблицы 7, полученный на основании величины DFR  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Отношение Спецификаций (Claim Ratio),p(CV)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UVL Фактор F из Таблицы 7, полученный на основании величины DFwlCV  </t>
        </r>
      </text>
    </comment>
    <comment ref="H4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UVL Фактор F из Таблицы 7, полученный на основании величины DFR  </t>
        </r>
      </text>
    </comment>
    <comment ref="J41" authorId="0">
      <text>
        <r>
          <rPr>
            <b/>
            <sz val="9"/>
            <color indexed="81"/>
            <rFont val="Tahoma"/>
            <family val="2"/>
            <charset val="204"/>
          </rPr>
          <t>Отношение Спецификаций (Claim Ratio),p(CV)</t>
        </r>
      </text>
    </comment>
    <comment ref="L4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UVL Фактор F из Таблицы 7, полученный на основании величины DFwlCV  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(SD)</t>
        </r>
      </text>
    </commen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ВЛП (SD) из Таблицы 6, полученная на основании p(SD)</t>
        </r>
      </text>
    </comment>
    <comment ref="F42" author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(SD)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(SD)</t>
        </r>
      </text>
    </comment>
    <comment ref="J42" author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ВЛП (SD) из Таблицы 6, полученная на основании p(SD)</t>
        </r>
      </text>
    </comment>
    <comment ref="L42" author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(SD)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(CV)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ВЛП (CV) из Таблицы 6, полученная на основании p(CV)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(CV)</t>
        </r>
      </text>
    </comment>
    <comment ref="H43" author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(CV)</t>
        </r>
      </text>
    </comment>
    <comment ref="J43" authorId="0">
      <text>
        <r>
          <rPr>
            <b/>
            <sz val="9"/>
            <color indexed="81"/>
            <rFont val="Tahoma"/>
            <family val="2"/>
            <charset val="204"/>
          </rPr>
          <t>Степень Свободы для ВЛП (CV) из Таблицы 6, полученная на основании p(CV)</t>
        </r>
      </text>
    </comment>
    <comment ref="L43" author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(CV)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Результатов Верификации Прецизионности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Результатов Верификации Прецизионности для Первого Уровня Контрольного Материала</t>
        </r>
      </text>
    </comment>
    <comment ref="H46" author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Результатов Верификации Прецизионности для Второго Уровня Контрольного Материала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204"/>
          </rPr>
          <t>Спецификация Производителя по Повторяемости</t>
        </r>
      </text>
    </comment>
    <comment ref="D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Оценка Верификации Повторяемости 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>Спецификация Производителя по ВнутриЛабораторной НеПрецизионности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04"/>
          </rPr>
          <t>Оценка Верификации ВнутриЛабораторной НеПрецизионности</t>
        </r>
      </text>
    </comment>
    <comment ref="H47" authorId="0">
      <text>
        <r>
          <rPr>
            <b/>
            <sz val="9"/>
            <color indexed="81"/>
            <rFont val="Tahoma"/>
            <family val="2"/>
            <charset val="204"/>
          </rPr>
          <t>Спецификация Производителя по Повторяемости</t>
        </r>
      </text>
    </comment>
    <comment ref="J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Оценка Верификации Повторяемости </t>
        </r>
      </text>
    </comment>
    <comment ref="K47" authorId="0">
      <text>
        <r>
          <rPr>
            <b/>
            <sz val="9"/>
            <color indexed="81"/>
            <rFont val="Tahoma"/>
            <family val="2"/>
            <charset val="204"/>
          </rPr>
          <t>Спецификация Производителя по ВнутриЛабораторной НеПрецизионности</t>
        </r>
      </text>
    </comment>
    <comment ref="M47" authorId="0">
      <text>
        <r>
          <rPr>
            <b/>
            <sz val="9"/>
            <color indexed="81"/>
            <rFont val="Tahoma"/>
            <family val="2"/>
            <charset val="204"/>
          </rPr>
          <t>Оценка Верификации ВнутриЛабораторной НеПрецизионности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H48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(СV)</t>
        </r>
      </text>
    </comment>
    <comment ref="E49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(CV)</t>
        </r>
      </text>
    </comment>
    <comment ref="H49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(СV)</t>
        </r>
      </text>
    </comment>
    <comment ref="K49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(CV)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(SD)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(SD)</t>
        </r>
      </text>
    </comment>
    <comment ref="H50" author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(SD)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(SD)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(CV)</t>
        </r>
      </text>
    </comment>
    <comment ref="E51" author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(CV)</t>
        </r>
      </text>
    </comment>
    <comment ref="H51" authorId="0">
      <text>
        <r>
          <rPr>
            <b/>
            <sz val="9"/>
            <color indexed="81"/>
            <rFont val="Tahoma"/>
            <family val="2"/>
            <charset val="204"/>
          </rPr>
          <t>UVL для Повторяемости (CV)</t>
        </r>
      </text>
    </comment>
    <comment ref="K51" authorId="0">
      <text>
        <r>
          <rPr>
            <b/>
            <sz val="9"/>
            <color indexed="81"/>
            <rFont val="Tahoma"/>
            <family val="2"/>
            <charset val="204"/>
          </rPr>
          <t>UVL для ВнутриЛабораторной Прецизионности (CV)</t>
        </r>
      </text>
    </comment>
    <comment ref="B54" authorId="0">
      <text>
        <r>
          <rPr>
            <b/>
            <sz val="10"/>
            <color indexed="81"/>
            <rFont val="Tahoma"/>
            <family val="2"/>
            <charset val="204"/>
          </rPr>
          <t>Исследуемый Аналит</t>
        </r>
      </text>
    </comment>
    <comment ref="E54" authorId="0">
      <text>
        <r>
          <rPr>
            <b/>
            <sz val="9"/>
            <color indexed="81"/>
            <rFont val="Tahoma"/>
            <family val="2"/>
            <charset val="204"/>
          </rPr>
          <t>Повторы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204"/>
          </rPr>
          <t>Количество Повторов</t>
        </r>
      </text>
    </comment>
    <comment ref="H54" authorId="0">
      <text>
        <r>
          <rPr>
            <b/>
            <sz val="9"/>
            <color indexed="81"/>
            <rFont val="Tahoma"/>
            <family val="2"/>
            <charset val="204"/>
          </rPr>
          <t>Уровни Контрольного Материала ВОК</t>
        </r>
      </text>
    </comment>
    <comment ref="I54" authorId="0">
      <text>
        <r>
          <rPr>
            <b/>
            <sz val="9"/>
            <color indexed="81"/>
            <rFont val="Tahoma"/>
            <family val="2"/>
            <charset val="204"/>
          </rPr>
          <t>Количество Уровней</t>
        </r>
      </text>
    </comment>
    <comment ref="B55" authorId="0">
      <text>
        <r>
          <rPr>
            <b/>
            <sz val="10"/>
            <color indexed="81"/>
            <rFont val="Tahoma"/>
            <family val="2"/>
            <charset val="204"/>
          </rPr>
          <t>Единицы Измерения</t>
        </r>
      </text>
    </comment>
    <comment ref="D55" authorId="0">
      <text>
        <r>
          <rPr>
            <b/>
            <sz val="10"/>
            <color indexed="81"/>
            <rFont val="Tahoma"/>
            <family val="2"/>
            <charset val="204"/>
          </rPr>
          <t>Единицы Измерения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204"/>
          </rPr>
          <t>Дни Исследования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Количество Дней Исследования </t>
        </r>
      </text>
    </comment>
    <comment ref="H55" authorId="0">
      <text>
        <r>
          <rPr>
            <b/>
            <sz val="9"/>
            <color indexed="81"/>
            <rFont val="Tahoma"/>
            <family val="2"/>
            <charset val="204"/>
          </rPr>
          <t>МедТехнолог</t>
        </r>
      </text>
    </comment>
    <comment ref="I55" authorId="0">
      <text>
        <r>
          <rPr>
            <b/>
            <sz val="9"/>
            <color indexed="81"/>
            <rFont val="Tahoma"/>
            <family val="2"/>
            <charset val="204"/>
          </rPr>
          <t>ФИО МедТехнолога</t>
        </r>
      </text>
    </comment>
    <comment ref="B5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Исходные Данные в соответствии со сценарием B и С </t>
        </r>
      </text>
    </comment>
    <comment ref="B5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Исходные Данные Первого Уровня Контрольного Материала ВОК </t>
        </r>
      </text>
    </comment>
    <comment ref="B59" authorId="0">
      <text>
        <r>
          <rPr>
            <b/>
            <sz val="10"/>
            <color indexed="81"/>
            <rFont val="Tahoma"/>
            <family val="2"/>
            <charset val="204"/>
          </rPr>
          <t>TV, основанное на Групповом Среднем материала ВОК</t>
        </r>
      </text>
    </comment>
    <comment ref="D5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Групповое Стандартное Отклонение (SD) </t>
        </r>
      </text>
    </comment>
    <comment ref="F5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Количество Лабораторий, участвующих в ВОК </t>
        </r>
      </text>
    </comment>
    <comment ref="H59" author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</t>
        </r>
      </text>
    </comment>
    <comment ref="J59" authorId="0">
      <text>
        <r>
          <rPr>
            <b/>
            <sz val="9"/>
            <color indexed="81"/>
            <rFont val="Tahoma"/>
            <family val="2"/>
            <charset val="204"/>
          </rPr>
          <t>Среднее всех Результатов Измерений</t>
        </r>
      </text>
    </comment>
    <comment ref="K59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L59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H60" author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 в %</t>
        </r>
      </text>
    </comment>
    <comment ref="I60" author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 в Абсолютной Величине</t>
        </r>
      </text>
    </comment>
    <comment ref="B6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Исходные Данные Второго Уровня Контрольного Материала ВОК </t>
        </r>
      </text>
    </comment>
    <comment ref="B62" authorId="0">
      <text>
        <r>
          <rPr>
            <b/>
            <sz val="10"/>
            <color indexed="81"/>
            <rFont val="Tahoma"/>
            <family val="2"/>
            <charset val="204"/>
          </rPr>
          <t>TV, основанное на Групповом Среднем материала ВОК</t>
        </r>
      </text>
    </comment>
    <comment ref="D62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Групповое Стандартное Отклонение (SD) </t>
        </r>
      </text>
    </comment>
    <comment ref="F62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Количество Лабораторий, участвующих в ВОК </t>
        </r>
      </text>
    </comment>
    <comment ref="H62" author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</t>
        </r>
      </text>
    </comment>
    <comment ref="J62" authorId="0">
      <text>
        <r>
          <rPr>
            <b/>
            <sz val="9"/>
            <color indexed="81"/>
            <rFont val="Tahoma"/>
            <family val="2"/>
            <charset val="204"/>
          </rPr>
          <t>Среднее всех Результатов Измерений</t>
        </r>
      </text>
    </comment>
    <comment ref="K62" authorId="0">
      <text>
        <r>
          <rPr>
            <b/>
            <sz val="9"/>
            <color indexed="81"/>
            <rFont val="Tahoma"/>
            <family val="2"/>
            <charset val="204"/>
          </rPr>
          <t>Повторяемость (SD)</t>
        </r>
      </text>
    </comment>
    <comment ref="L62" authorId="0">
      <text>
        <r>
          <rPr>
            <b/>
            <sz val="9"/>
            <color indexed="81"/>
            <rFont val="Tahoma"/>
            <family val="2"/>
            <charset val="204"/>
          </rPr>
          <t>ВнутриЛабораторная Прецизионность (SD)</t>
        </r>
      </text>
    </comment>
    <comment ref="H63" author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 в %</t>
        </r>
      </text>
    </comment>
    <comment ref="I63" authorId="0">
      <text>
        <r>
          <rPr>
            <b/>
            <sz val="10"/>
            <color indexed="81"/>
            <rFont val="Tahoma"/>
            <family val="2"/>
            <charset val="204"/>
          </rPr>
          <t>Допустимая величина Аналитического Смещения в Абсолютной Величине</t>
        </r>
      </text>
    </comment>
    <comment ref="B65" authorId="0">
      <text>
        <r>
          <rPr>
            <b/>
            <sz val="10"/>
            <color indexed="81"/>
            <rFont val="Tahoma"/>
            <family val="2"/>
            <charset val="204"/>
          </rPr>
          <t>Расчёты и интерпретация результатов верификации Правильности</t>
        </r>
      </text>
    </comment>
    <comment ref="B66" authorId="0">
      <text>
        <r>
          <rPr>
            <b/>
            <sz val="10"/>
            <color indexed="81"/>
            <rFont val="Tahoma"/>
            <family val="2"/>
            <charset val="204"/>
          </rPr>
          <t>Расчёты и интерпретация результатов верификации Правильности для Первого Уровня Контрольного Материала ВОК</t>
        </r>
      </text>
    </comment>
    <comment ref="B67" authorId="0">
      <text>
        <r>
          <rPr>
            <b/>
            <sz val="10"/>
            <color indexed="81"/>
            <rFont val="Tahoma"/>
            <family val="2"/>
            <charset val="204"/>
          </rPr>
          <t>Стандартная Ошибка Среднего</t>
        </r>
      </text>
    </comment>
    <comment ref="C67" authorId="0">
      <text>
        <r>
          <rPr>
            <b/>
            <sz val="10"/>
            <color indexed="81"/>
            <rFont val="Tahoma"/>
            <family val="2"/>
            <charset val="204"/>
          </rPr>
          <t>Стандартная Ошибка Целевого Значения Контрольного Материала ВОК</t>
        </r>
      </text>
    </comment>
    <comment ref="D67" authorId="0">
      <text>
        <r>
          <rPr>
            <b/>
            <sz val="10"/>
            <color indexed="81"/>
            <rFont val="Tahoma"/>
            <family val="2"/>
            <charset val="204"/>
          </rPr>
          <t>Комбинированная Стандартная Ошибка Среднего и Целевого Значения Контрольного Материала ВОК</t>
        </r>
      </text>
    </comment>
    <comment ref="E6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 отношения SETV/SEM </t>
        </r>
        <r>
          <rPr>
            <b/>
            <i/>
            <sz val="10"/>
            <color indexed="81"/>
            <rFont val="Tahoma"/>
            <family val="2"/>
            <charset val="204"/>
          </rPr>
          <t>(tau)</t>
        </r>
      </text>
    </comment>
    <comment ref="F67" authorId="0">
      <text>
        <r>
          <rPr>
            <b/>
            <sz val="10"/>
            <color indexed="81"/>
            <rFont val="Tahoma"/>
            <family val="2"/>
            <charset val="204"/>
          </rPr>
          <t>Степень Свободы для SECOM из Таблицы 15А, полученная на основании</t>
        </r>
        <r>
          <rPr>
            <b/>
            <i/>
            <sz val="10"/>
            <color indexed="81"/>
            <rFont val="Tahoma"/>
            <family val="2"/>
            <charset val="204"/>
          </rPr>
          <t xml:space="preserve"> tau</t>
        </r>
        <r>
          <rPr>
            <b/>
            <sz val="10"/>
            <color indexed="81"/>
            <rFont val="Tahoma"/>
            <family val="2"/>
            <charset val="204"/>
          </rPr>
          <t xml:space="preserve"> и Количества Лабораторий, участвующих в ВОК       </t>
        </r>
      </text>
    </comment>
    <comment ref="G6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Множитель M для Квантиля распределения Стьюдента </t>
        </r>
        <r>
          <rPr>
            <b/>
            <i/>
            <sz val="10"/>
            <color indexed="81"/>
            <rFont val="Tahoma"/>
            <family val="2"/>
            <charset val="204"/>
          </rPr>
          <t>t</t>
        </r>
        <r>
          <rPr>
            <b/>
            <sz val="10"/>
            <color indexed="81"/>
            <rFont val="Tahoma"/>
            <family val="2"/>
            <charset val="204"/>
          </rPr>
          <t xml:space="preserve"> </t>
        </r>
      </text>
    </comment>
    <comment ref="H6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</t>
        </r>
      </text>
    </comment>
    <comment ref="J67" authorId="0">
      <text>
        <r>
          <rPr>
            <b/>
            <sz val="10"/>
            <color indexed="81"/>
            <rFont val="Tahoma"/>
            <family val="2"/>
            <charset val="204"/>
          </rPr>
          <t>Нижняя Граница Верификационного Интервала</t>
        </r>
      </text>
    </comment>
    <comment ref="K67" authorId="0">
      <text>
        <r>
          <rPr>
            <b/>
            <sz val="10"/>
            <color indexed="81"/>
            <rFont val="Tahoma"/>
            <family val="2"/>
            <charset val="204"/>
          </rPr>
          <t>Верхняя Граница Верификационного Интервала</t>
        </r>
      </text>
    </comment>
    <comment ref="L67" author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полученной величины аналитического смещения</t>
        </r>
      </text>
    </comment>
    <comment ref="H6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в Абсолютной Величине </t>
        </r>
      </text>
    </comment>
    <comment ref="I6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в % </t>
        </r>
      </text>
    </comment>
    <comment ref="L68" authorId="0">
      <text>
        <r>
          <rPr>
            <b/>
            <sz val="10"/>
            <color indexed="81"/>
            <rFont val="Tahoma"/>
            <family val="2"/>
            <charset val="204"/>
          </rPr>
          <t>Статистическая Интерпретация полученной величины Аналитического Смещения</t>
        </r>
      </text>
    </comment>
    <comment ref="N68" author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полученной величины АС основанная на Целях Лаборатории</t>
        </r>
      </text>
    </comment>
    <comment ref="B69" authorId="0">
      <text>
        <r>
          <rPr>
            <b/>
            <sz val="10"/>
            <color indexed="81"/>
            <rFont val="Tahoma"/>
            <family val="2"/>
            <charset val="204"/>
          </rPr>
          <t>Расчёты и интерпретация результатов верификации Правильности для Второго Уровня Контрольного Материала ВОК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>Стандартная Ошибка Среднего</t>
        </r>
      </text>
    </comment>
    <comment ref="C70" authorId="0">
      <text>
        <r>
          <rPr>
            <b/>
            <sz val="10"/>
            <color indexed="81"/>
            <rFont val="Tahoma"/>
            <family val="2"/>
            <charset val="204"/>
          </rPr>
          <t>Стандартная Ошибка Целевого Значения Контрольного Материала ВОК</t>
        </r>
      </text>
    </comment>
    <comment ref="D70" authorId="0">
      <text>
        <r>
          <rPr>
            <b/>
            <sz val="10"/>
            <color indexed="81"/>
            <rFont val="Tahoma"/>
            <family val="2"/>
            <charset val="204"/>
          </rPr>
          <t>Комбинированная Стандартная Ошибка Среднего и Целевого Значения Контрольного Материала ВОК</t>
        </r>
      </text>
    </comment>
    <comment ref="E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Расчёт отношения SETV/SEM </t>
        </r>
        <r>
          <rPr>
            <b/>
            <i/>
            <sz val="10"/>
            <color indexed="81"/>
            <rFont val="Tahoma"/>
            <family val="2"/>
            <charset val="204"/>
          </rPr>
          <t>(tau)</t>
        </r>
      </text>
    </comment>
    <comment ref="F70" authorId="0">
      <text>
        <r>
          <rPr>
            <b/>
            <sz val="10"/>
            <color indexed="81"/>
            <rFont val="Tahoma"/>
            <family val="2"/>
            <charset val="204"/>
          </rPr>
          <t>Степень Свободы для SECOM из Таблицы 15А, полученная на основании</t>
        </r>
        <r>
          <rPr>
            <b/>
            <i/>
            <sz val="10"/>
            <color indexed="81"/>
            <rFont val="Tahoma"/>
            <family val="2"/>
            <charset val="204"/>
          </rPr>
          <t xml:space="preserve"> tau</t>
        </r>
        <r>
          <rPr>
            <b/>
            <sz val="10"/>
            <color indexed="81"/>
            <rFont val="Tahoma"/>
            <family val="2"/>
            <charset val="204"/>
          </rPr>
          <t xml:space="preserve"> и Количества Лабораторий, участвующих в ВОК       </t>
        </r>
      </text>
    </comment>
    <comment ref="G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Множитель M для Квантиля распределения Стьюдента </t>
        </r>
        <r>
          <rPr>
            <b/>
            <i/>
            <sz val="10"/>
            <color indexed="81"/>
            <rFont val="Tahoma"/>
            <family val="2"/>
            <charset val="204"/>
          </rPr>
          <t>t</t>
        </r>
        <r>
          <rPr>
            <b/>
            <sz val="10"/>
            <color indexed="81"/>
            <rFont val="Tahoma"/>
            <family val="2"/>
            <charset val="204"/>
          </rPr>
          <t xml:space="preserve"> </t>
        </r>
      </text>
    </comment>
    <comment ref="H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</t>
        </r>
      </text>
    </comment>
    <comment ref="J70" authorId="0">
      <text>
        <r>
          <rPr>
            <b/>
            <sz val="10"/>
            <color indexed="81"/>
            <rFont val="Tahoma"/>
            <family val="2"/>
            <charset val="204"/>
          </rPr>
          <t>Нижняя Граница Верификационного Интервала</t>
        </r>
      </text>
    </comment>
    <comment ref="K70" authorId="0">
      <text>
        <r>
          <rPr>
            <b/>
            <sz val="10"/>
            <color indexed="81"/>
            <rFont val="Tahoma"/>
            <family val="2"/>
            <charset val="204"/>
          </rPr>
          <t>Верхняя Граница Верификационного Интервала</t>
        </r>
      </text>
    </comment>
    <comment ref="L70" author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полученной величины аналитического смещения</t>
        </r>
      </text>
    </comment>
    <comment ref="H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в Абсолютной Величине </t>
        </r>
      </text>
    </comment>
    <comment ref="I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Полученная величина Аналитического Смещения в % </t>
        </r>
      </text>
    </comment>
    <comment ref="L71" authorId="0">
      <text>
        <r>
          <rPr>
            <b/>
            <sz val="10"/>
            <color indexed="81"/>
            <rFont val="Tahoma"/>
            <family val="2"/>
            <charset val="204"/>
          </rPr>
          <t>Статистическая Интерпретация полученной величины Аналитического Смещения</t>
        </r>
      </text>
    </comment>
    <comment ref="N71" authorId="0">
      <text>
        <r>
          <rPr>
            <b/>
            <sz val="10"/>
            <color indexed="81"/>
            <rFont val="Tahoma"/>
            <family val="2"/>
            <charset val="204"/>
          </rPr>
          <t>Интерпретация полученной величины АС основанная на Целях Лаборатории</t>
        </r>
      </text>
    </comment>
  </commentList>
</comments>
</file>

<file path=xl/sharedStrings.xml><?xml version="1.0" encoding="utf-8"?>
<sst xmlns="http://schemas.openxmlformats.org/spreadsheetml/2006/main" count="259" uniqueCount="113">
  <si>
    <t>SD</t>
  </si>
  <si>
    <t xml:space="preserve"> </t>
  </si>
  <si>
    <t>Experimental Data</t>
  </si>
  <si>
    <t xml:space="preserve">EP15-A3 Precision  </t>
  </si>
  <si>
    <t>Parameter</t>
  </si>
  <si>
    <t>Ferritin</t>
  </si>
  <si>
    <t>Replicates</t>
  </si>
  <si>
    <t>Levels</t>
  </si>
  <si>
    <t>Units</t>
  </si>
  <si>
    <t>ug/l</t>
  </si>
  <si>
    <t>Days</t>
  </si>
  <si>
    <t>Operator</t>
  </si>
  <si>
    <t>Turkowski G</t>
  </si>
  <si>
    <t>Descriptive Statistics</t>
  </si>
  <si>
    <t>Grubbs Test for Outliers</t>
  </si>
  <si>
    <t>Level 1</t>
  </si>
  <si>
    <t>Date</t>
  </si>
  <si>
    <t>Rep 1</t>
  </si>
  <si>
    <t>Rep 2</t>
  </si>
  <si>
    <t>Rep 3</t>
  </si>
  <si>
    <t>Rep 4</t>
  </si>
  <si>
    <t>Rep 5</t>
  </si>
  <si>
    <t>Sum</t>
  </si>
  <si>
    <t xml:space="preserve">Mean </t>
  </si>
  <si>
    <t xml:space="preserve">SD </t>
  </si>
  <si>
    <t>Variance</t>
  </si>
  <si>
    <t>GM</t>
  </si>
  <si>
    <t>GL High</t>
  </si>
  <si>
    <t>GL Low</t>
  </si>
  <si>
    <t>Level 2</t>
  </si>
  <si>
    <t>ANOVA Table</t>
  </si>
  <si>
    <t xml:space="preserve">Calculation </t>
  </si>
  <si>
    <t xml:space="preserve">Source of Variation </t>
  </si>
  <si>
    <t>SS (1&amp;2)</t>
  </si>
  <si>
    <t>DF(1&amp;2)</t>
  </si>
  <si>
    <t>MS(1&amp;2)</t>
  </si>
  <si>
    <t>Variance Components</t>
  </si>
  <si>
    <t xml:space="preserve">Imprecision </t>
  </si>
  <si>
    <t>Between Run</t>
  </si>
  <si>
    <t>Vw</t>
  </si>
  <si>
    <t>Repeatability</t>
  </si>
  <si>
    <t>SR</t>
  </si>
  <si>
    <t>%CVR</t>
  </si>
  <si>
    <t>Within Run</t>
  </si>
  <si>
    <t>Vb</t>
  </si>
  <si>
    <t xml:space="preserve">Between Run </t>
  </si>
  <si>
    <t>SB</t>
  </si>
  <si>
    <t>%CVB</t>
  </si>
  <si>
    <t xml:space="preserve">Total </t>
  </si>
  <si>
    <t>Within-Laboratory</t>
  </si>
  <si>
    <t>SWL</t>
  </si>
  <si>
    <t>%CVWL</t>
  </si>
  <si>
    <t>Imprecision Claims From the Manufacturer Package Insert</t>
  </si>
  <si>
    <t xml:space="preserve">Level 1 </t>
  </si>
  <si>
    <t xml:space="preserve">Level 2 </t>
  </si>
  <si>
    <t>CV</t>
  </si>
  <si>
    <t>UVLs Calculated for Package Insert Precision Claims</t>
  </si>
  <si>
    <t>DFR</t>
  </si>
  <si>
    <t>P(SD)</t>
  </si>
  <si>
    <t>UVLFSD</t>
  </si>
  <si>
    <t>UVLF</t>
  </si>
  <si>
    <t>P(CV)</t>
  </si>
  <si>
    <t>UVLFCV</t>
  </si>
  <si>
    <t>UVLrSD</t>
  </si>
  <si>
    <t>DFwlSD</t>
  </si>
  <si>
    <t>UVLwlSD</t>
  </si>
  <si>
    <t>UVLrCV</t>
  </si>
  <si>
    <t>DFwlCV</t>
  </si>
  <si>
    <t>UVLwlCV</t>
  </si>
  <si>
    <t xml:space="preserve">Interpreting Precision Verification Results </t>
  </si>
  <si>
    <t>Status</t>
  </si>
  <si>
    <t xml:space="preserve">EP15-A3 Trueness </t>
  </si>
  <si>
    <t>Initial Data</t>
  </si>
  <si>
    <t>Peer Group Mean</t>
  </si>
  <si>
    <t>Group SD</t>
  </si>
  <si>
    <t>Participants</t>
  </si>
  <si>
    <t xml:space="preserve">Allowable Bias </t>
  </si>
  <si>
    <t xml:space="preserve"> Calculations and Interpeting Trueness Verification Results </t>
  </si>
  <si>
    <t>SEM</t>
  </si>
  <si>
    <t>SETV</t>
  </si>
  <si>
    <t>SECOM</t>
  </si>
  <si>
    <t>TAU</t>
  </si>
  <si>
    <t>DFC</t>
  </si>
  <si>
    <t>M</t>
  </si>
  <si>
    <t xml:space="preserve">Bias Observed </t>
  </si>
  <si>
    <t>LLVI</t>
  </si>
  <si>
    <t>ULVI</t>
  </si>
  <si>
    <t>Status Bias</t>
  </si>
  <si>
    <t>EP15-A3</t>
  </si>
  <si>
    <t xml:space="preserve">5 Серий и 5 Репликаций         </t>
  </si>
  <si>
    <t>P</t>
  </si>
  <si>
    <t>DFwl</t>
  </si>
  <si>
    <t xml:space="preserve">Таблица 7. UVL Факторы (F) как Функция величины DF и Количества используемых в Эксперименте Образцов. </t>
  </si>
  <si>
    <t>DF</t>
  </si>
  <si>
    <t>Количество Образцов</t>
  </si>
  <si>
    <t xml:space="preserve">Таблица 15А. DFC для Комбинированной Стандартной Ошибки Среднего и Целевого Значения Референтного Материала как Функция Отношения величины Стандартной Ошибки Референтного Материала и Стандартной Ошибки Среднего (TAU =SENV/SEM) для Пяти Аналитических Серий с Пятью Репликациями в одной Серии и Nm - 10, 20, 50, 100 и &gt;= 200 Лабораторий, участвующих в ВОК. Таблица предназначена для работы в соответствтвии со сценарием В и С документа EP15-A3. </t>
  </si>
  <si>
    <t>10 Лабораторий</t>
  </si>
  <si>
    <t>20 Лабораторий</t>
  </si>
  <si>
    <t>50 Лабораторий</t>
  </si>
  <si>
    <t>100 Лабораторий</t>
  </si>
  <si>
    <t>200 Лабораторий</t>
  </si>
  <si>
    <t>infinity</t>
  </si>
  <si>
    <t>DFwlSD (Level 1)</t>
  </si>
  <si>
    <t>DFwlCV (Level 1)</t>
  </si>
  <si>
    <t>DFwlSD (Level 2)</t>
  </si>
  <si>
    <t>DFwlCV (Level 2)</t>
  </si>
  <si>
    <t>Вспомогательные данные для расчета
по данным таблицы EP15A-3</t>
  </si>
  <si>
    <t>DFwl(Closest)</t>
  </si>
  <si>
    <t>Lab Qty</t>
  </si>
  <si>
    <t>Range</t>
  </si>
  <si>
    <t>DFC (Closest)</t>
  </si>
  <si>
    <t>Paremeter</t>
  </si>
  <si>
    <t xml:space="preserve">Таблица 6. DFwl как Функция Отношения Спецификации Производителя (p = Within Laboratory / Repeatability) для Пяти Аналитических Серий и                                                   Пяти Репликаций на одну Аналитическую серию.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</si>
</sst>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d/m/yy;@"/>
    <numFmt numFmtId="167" formatCode="0.0000"/>
    <numFmt numFmtId="169" formatCode="[$-419]General"/>
  </numFmts>
  <fonts count="42">
    <font>
      <sz val="10"/>
      <name val="Arial Cyr"/>
      <charset val="204"/>
    </font>
    <font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宋体"/>
      <charset val="13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color indexed="81"/>
      <name val="Tahoma"/>
      <family val="2"/>
      <charset val="204"/>
    </font>
    <font>
      <sz val="10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b/>
      <sz val="10"/>
      <name val="Arial Cyr"/>
      <charset val="204"/>
    </font>
    <font>
      <sz val="7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18"/>
      <name val="Arial"/>
      <family val="2"/>
    </font>
    <font>
      <sz val="9"/>
      <name val="Arial"/>
    </font>
    <font>
      <sz val="11"/>
      <color indexed="8"/>
      <name val="Arial"/>
      <family val="2"/>
      <charset val="204"/>
    </font>
    <font>
      <sz val="10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/>
      <bottom/>
      <diagonal/>
    </border>
    <border>
      <left/>
      <right/>
      <top/>
      <bottom style="medium">
        <color indexed="55"/>
      </bottom>
      <diagonal/>
    </border>
    <border>
      <left/>
      <right style="thin">
        <color indexed="22"/>
      </right>
      <top/>
      <bottom style="medium">
        <color indexed="55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32" fillId="0" borderId="0" applyNumberFormat="0" applyFont="0" applyFill="0" applyBorder="0" applyAlignment="0" applyProtection="0">
      <alignment vertical="top"/>
    </xf>
    <xf numFmtId="0" fontId="36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3" borderId="0" applyNumberFormat="0" applyBorder="0" applyAlignment="0" applyProtection="0"/>
    <xf numFmtId="0" fontId="6" fillId="20" borderId="1" applyNumberFormat="0" applyAlignment="0" applyProtection="0"/>
    <xf numFmtId="0" fontId="12" fillId="21" borderId="7" applyNumberFormat="0" applyAlignment="0" applyProtection="0"/>
    <xf numFmtId="0" fontId="37" fillId="0" borderId="0" applyNumberFormat="0" applyFont="0" applyAlignment="0">
      <alignment horizontal="right" vertical="center"/>
      <protection locked="0"/>
    </xf>
    <xf numFmtId="0" fontId="37" fillId="0" borderId="20" applyNumberFormat="0" applyFont="0" applyAlignment="0">
      <alignment horizontal="right" vertical="center"/>
      <protection locked="0"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7" borderId="1" applyNumberFormat="0" applyAlignment="0" applyProtection="0"/>
    <xf numFmtId="0" fontId="38" fillId="0" borderId="21">
      <alignment horizontal="right"/>
      <protection locked="0"/>
    </xf>
    <xf numFmtId="0" fontId="37" fillId="0" borderId="21">
      <alignment horizontal="right" wrapText="1"/>
      <protection locked="0"/>
    </xf>
    <xf numFmtId="0" fontId="38" fillId="0" borderId="22">
      <alignment horizontal="right" vertical="center"/>
      <protection locked="0"/>
    </xf>
    <xf numFmtId="0" fontId="37" fillId="0" borderId="22">
      <alignment horizontal="right" vertical="center"/>
      <protection locked="0"/>
    </xf>
    <xf numFmtId="0" fontId="38" fillId="0" borderId="23">
      <alignment horizontal="center" wrapText="1"/>
      <protection locked="0"/>
    </xf>
    <xf numFmtId="0" fontId="38" fillId="0" borderId="24" applyProtection="0">
      <alignment horizontal="center" wrapText="1"/>
      <protection locked="0"/>
    </xf>
    <xf numFmtId="0" fontId="17" fillId="0" borderId="9" applyNumberFormat="0" applyFill="0" applyAlignment="0" applyProtection="0"/>
    <xf numFmtId="0" fontId="14" fillId="22" borderId="0" applyNumberFormat="0" applyBorder="0" applyAlignment="0" applyProtection="0"/>
    <xf numFmtId="0" fontId="39" fillId="37" borderId="0"/>
    <xf numFmtId="0" fontId="2" fillId="23" borderId="8" applyNumberFormat="0" applyFont="0" applyAlignment="0" applyProtection="0"/>
    <xf numFmtId="0" fontId="5" fillId="20" borderId="2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169" fontId="40" fillId="0" borderId="0"/>
    <xf numFmtId="0" fontId="41" fillId="0" borderId="0"/>
  </cellStyleXfs>
  <cellXfs count="157">
    <xf numFmtId="0" fontId="0" fillId="0" borderId="0" xfId="0"/>
    <xf numFmtId="2" fontId="0" fillId="0" borderId="0" xfId="0" applyNumberFormat="1"/>
    <xf numFmtId="0" fontId="1" fillId="0" borderId="0" xfId="0" applyFont="1"/>
    <xf numFmtId="0" fontId="29" fillId="33" borderId="0" xfId="0" applyFont="1" applyFill="1"/>
    <xf numFmtId="0" fontId="0" fillId="33" borderId="0" xfId="0" applyFill="1"/>
    <xf numFmtId="0" fontId="29" fillId="25" borderId="10" xfId="0" applyFont="1" applyFill="1" applyBorder="1" applyAlignment="1">
      <alignment horizontal="center"/>
    </xf>
    <xf numFmtId="0" fontId="29" fillId="24" borderId="10" xfId="0" applyFont="1" applyFill="1" applyBorder="1" applyProtection="1">
      <protection locked="0"/>
    </xf>
    <xf numFmtId="0" fontId="29" fillId="34" borderId="12" xfId="0" applyFont="1" applyFill="1" applyBorder="1" applyAlignment="1"/>
    <xf numFmtId="0" fontId="29" fillId="29" borderId="15" xfId="0" applyFont="1" applyFill="1" applyBorder="1" applyAlignment="1">
      <alignment horizontal="center"/>
    </xf>
    <xf numFmtId="0" fontId="29" fillId="27" borderId="15" xfId="0" applyFont="1" applyFill="1" applyBorder="1" applyAlignment="1">
      <alignment horizontal="center"/>
    </xf>
    <xf numFmtId="0" fontId="29" fillId="31" borderId="15" xfId="0" applyFont="1" applyFill="1" applyBorder="1" applyAlignment="1">
      <alignment horizontal="center"/>
    </xf>
    <xf numFmtId="166" fontId="29" fillId="34" borderId="10" xfId="0" applyNumberFormat="1" applyFont="1" applyFill="1" applyBorder="1" applyAlignment="1">
      <alignment horizontal="center"/>
    </xf>
    <xf numFmtId="0" fontId="29" fillId="0" borderId="10" xfId="0" applyFont="1" applyBorder="1"/>
    <xf numFmtId="165" fontId="29" fillId="0" borderId="10" xfId="0" applyNumberFormat="1" applyFont="1" applyBorder="1"/>
    <xf numFmtId="2" fontId="29" fillId="0" borderId="10" xfId="0" applyNumberFormat="1" applyFont="1" applyBorder="1"/>
    <xf numFmtId="0" fontId="29" fillId="0" borderId="0" xfId="0" applyFont="1"/>
    <xf numFmtId="0" fontId="29" fillId="0" borderId="11" xfId="0" applyFont="1" applyBorder="1"/>
    <xf numFmtId="165" fontId="29" fillId="0" borderId="11" xfId="0" applyNumberFormat="1" applyFont="1" applyBorder="1"/>
    <xf numFmtId="2" fontId="29" fillId="0" borderId="11" xfId="0" applyNumberFormat="1" applyFont="1" applyBorder="1"/>
    <xf numFmtId="0" fontId="29" fillId="29" borderId="10" xfId="0" applyFont="1" applyFill="1" applyBorder="1" applyAlignment="1">
      <alignment horizontal="center"/>
    </xf>
    <xf numFmtId="2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34" borderId="11" xfId="0" applyFont="1" applyFill="1" applyBorder="1"/>
    <xf numFmtId="0" fontId="30" fillId="34" borderId="10" xfId="0" applyFont="1" applyFill="1" applyBorder="1"/>
    <xf numFmtId="2" fontId="30" fillId="0" borderId="10" xfId="0" applyNumberFormat="1" applyFont="1" applyBorder="1"/>
    <xf numFmtId="0" fontId="29" fillId="34" borderId="10" xfId="0" applyFont="1" applyFill="1" applyBorder="1"/>
    <xf numFmtId="0" fontId="24" fillId="0" borderId="0" xfId="0" applyFont="1" applyBorder="1" applyAlignment="1">
      <alignment horizontal="right"/>
    </xf>
    <xf numFmtId="165" fontId="30" fillId="0" borderId="10" xfId="0" applyNumberFormat="1" applyFont="1" applyBorder="1"/>
    <xf numFmtId="0" fontId="0" fillId="28" borderId="15" xfId="0" applyFill="1" applyBorder="1"/>
    <xf numFmtId="0" fontId="29" fillId="28" borderId="15" xfId="0" applyFont="1" applyFill="1" applyBorder="1"/>
    <xf numFmtId="0" fontId="0" fillId="34" borderId="10" xfId="0" applyFill="1" applyBorder="1"/>
    <xf numFmtId="0" fontId="0" fillId="28" borderId="10" xfId="0" applyFill="1" applyBorder="1"/>
    <xf numFmtId="0" fontId="29" fillId="28" borderId="10" xfId="0" applyFont="1" applyFill="1" applyBorder="1"/>
    <xf numFmtId="0" fontId="29" fillId="28" borderId="10" xfId="0" applyFont="1" applyFill="1" applyBorder="1" applyAlignment="1">
      <alignment horizontal="left"/>
    </xf>
    <xf numFmtId="0" fontId="29" fillId="28" borderId="10" xfId="0" applyFont="1" applyFill="1" applyBorder="1" applyAlignment="1">
      <alignment horizontal="right"/>
    </xf>
    <xf numFmtId="0" fontId="29" fillId="34" borderId="10" xfId="0" applyFont="1" applyFill="1" applyBorder="1" applyAlignment="1"/>
    <xf numFmtId="2" fontId="29" fillId="34" borderId="10" xfId="0" applyNumberFormat="1" applyFont="1" applyFill="1" applyBorder="1" applyAlignment="1"/>
    <xf numFmtId="0" fontId="29" fillId="31" borderId="10" xfId="0" applyFont="1" applyFill="1" applyBorder="1"/>
    <xf numFmtId="0" fontId="29" fillId="31" borderId="10" xfId="0" applyFont="1" applyFill="1" applyBorder="1" applyAlignment="1">
      <alignment horizontal="right"/>
    </xf>
    <xf numFmtId="2" fontId="29" fillId="34" borderId="10" xfId="0" applyNumberFormat="1" applyFont="1" applyFill="1" applyBorder="1"/>
    <xf numFmtId="165" fontId="29" fillId="28" borderId="10" xfId="0" applyNumberFormat="1" applyFont="1" applyFill="1" applyBorder="1" applyAlignment="1">
      <alignment horizontal="right"/>
    </xf>
    <xf numFmtId="165" fontId="29" fillId="34" borderId="10" xfId="0" applyNumberFormat="1" applyFont="1" applyFill="1" applyBorder="1"/>
    <xf numFmtId="0" fontId="30" fillId="26" borderId="10" xfId="0" applyFont="1" applyFill="1" applyBorder="1" applyAlignment="1">
      <alignment horizontal="center"/>
    </xf>
    <xf numFmtId="0" fontId="30" fillId="0" borderId="10" xfId="0" applyFont="1" applyBorder="1"/>
    <xf numFmtId="165" fontId="29" fillId="28" borderId="10" xfId="0" applyNumberFormat="1" applyFont="1" applyFill="1" applyBorder="1"/>
    <xf numFmtId="0" fontId="29" fillId="30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165" fontId="29" fillId="0" borderId="10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167" fontId="0" fillId="0" borderId="0" xfId="0" applyNumberFormat="1"/>
    <xf numFmtId="0" fontId="29" fillId="30" borderId="15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29" fillId="31" borderId="11" xfId="0" applyFont="1" applyFill="1" applyBorder="1" applyAlignment="1">
      <alignment horizontal="center"/>
    </xf>
    <xf numFmtId="165" fontId="29" fillId="0" borderId="11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65" fontId="30" fillId="0" borderId="11" xfId="0" applyNumberFormat="1" applyFont="1" applyFill="1" applyBorder="1" applyAlignment="1">
      <alignment horizontal="center"/>
    </xf>
    <xf numFmtId="0" fontId="29" fillId="31" borderId="10" xfId="0" applyFont="1" applyFill="1" applyBorder="1" applyAlignment="1">
      <alignment horizontal="center"/>
    </xf>
    <xf numFmtId="165" fontId="30" fillId="0" borderId="10" xfId="0" applyNumberFormat="1" applyFont="1" applyFill="1" applyBorder="1" applyAlignment="1">
      <alignment horizontal="center"/>
    </xf>
    <xf numFmtId="0" fontId="32" fillId="0" borderId="0" xfId="45" applyNumberFormat="1" applyFont="1" applyFill="1" applyBorder="1" applyAlignment="1" applyProtection="1">
      <alignment vertical="top"/>
    </xf>
    <xf numFmtId="0" fontId="29" fillId="0" borderId="0" xfId="45" applyNumberFormat="1" applyFont="1" applyFill="1" applyBorder="1" applyAlignment="1" applyProtection="1">
      <alignment vertical="top"/>
    </xf>
    <xf numFmtId="0" fontId="30" fillId="27" borderId="10" xfId="45" applyNumberFormat="1" applyFont="1" applyFill="1" applyBorder="1" applyAlignment="1" applyProtection="1">
      <alignment horizontal="center" vertical="top"/>
    </xf>
    <xf numFmtId="0" fontId="29" fillId="0" borderId="10" xfId="45" applyNumberFormat="1" applyFont="1" applyFill="1" applyBorder="1" applyAlignment="1" applyProtection="1">
      <alignment horizontal="center" vertical="top"/>
    </xf>
    <xf numFmtId="0" fontId="29" fillId="29" borderId="10" xfId="45" applyNumberFormat="1" applyFont="1" applyFill="1" applyBorder="1" applyAlignment="1" applyProtection="1">
      <alignment horizontal="center" vertical="top"/>
    </xf>
    <xf numFmtId="0" fontId="23" fillId="0" borderId="0" xfId="45" applyNumberFormat="1" applyFont="1" applyFill="1" applyBorder="1" applyAlignment="1" applyProtection="1">
      <alignment horizontal="right" vertical="top"/>
    </xf>
    <xf numFmtId="0" fontId="22" fillId="0" borderId="0" xfId="45" applyNumberFormat="1" applyFont="1" applyFill="1" applyBorder="1" applyAlignment="1" applyProtection="1">
      <alignment horizontal="center" vertical="top"/>
    </xf>
    <xf numFmtId="0" fontId="22" fillId="0" borderId="0" xfId="45" applyNumberFormat="1" applyFont="1" applyFill="1" applyBorder="1" applyAlignment="1" applyProtection="1">
      <alignment horizontal="right" vertical="top"/>
    </xf>
    <xf numFmtId="0" fontId="30" fillId="0" borderId="0" xfId="45" applyNumberFormat="1" applyFont="1" applyFill="1" applyBorder="1" applyAlignment="1" applyProtection="1">
      <alignment vertical="top"/>
    </xf>
    <xf numFmtId="0" fontId="34" fillId="27" borderId="13" xfId="0" applyFont="1" applyFill="1" applyBorder="1" applyAlignment="1">
      <alignment horizontal="center"/>
    </xf>
    <xf numFmtId="0" fontId="34" fillId="27" borderId="10" xfId="0" applyFont="1" applyFill="1" applyBorder="1" applyAlignment="1">
      <alignment horizontal="center"/>
    </xf>
    <xf numFmtId="0" fontId="29" fillId="35" borderId="15" xfId="45" applyNumberFormat="1" applyFont="1" applyFill="1" applyBorder="1" applyAlignment="1" applyProtection="1">
      <alignment horizontal="center" vertical="top"/>
    </xf>
    <xf numFmtId="0" fontId="29" fillId="35" borderId="10" xfId="45" applyNumberFormat="1" applyFont="1" applyFill="1" applyBorder="1" applyAlignment="1" applyProtection="1">
      <alignment horizontal="center" vertical="top"/>
    </xf>
    <xf numFmtId="0" fontId="35" fillId="0" borderId="0" xfId="45" applyNumberFormat="1" applyFont="1" applyFill="1" applyBorder="1" applyAlignment="1" applyProtection="1">
      <alignment vertical="top"/>
    </xf>
    <xf numFmtId="0" fontId="33" fillId="27" borderId="10" xfId="45" applyNumberFormat="1" applyFont="1" applyFill="1" applyBorder="1" applyAlignment="1" applyProtection="1">
      <alignment horizontal="center" vertical="top"/>
    </xf>
    <xf numFmtId="0" fontId="29" fillId="0" borderId="15" xfId="45" applyNumberFormat="1" applyFont="1" applyFill="1" applyBorder="1" applyAlignment="1" applyProtection="1">
      <alignment horizontal="center" vertical="top"/>
    </xf>
    <xf numFmtId="0" fontId="29" fillId="0" borderId="10" xfId="45" applyNumberFormat="1" applyFont="1" applyFill="1" applyBorder="1" applyAlignment="1" applyProtection="1">
      <alignment vertical="top"/>
    </xf>
    <xf numFmtId="164" fontId="29" fillId="0" borderId="15" xfId="45" applyNumberFormat="1" applyFont="1" applyFill="1" applyBorder="1" applyAlignment="1" applyProtection="1">
      <alignment horizontal="center" vertical="top"/>
    </xf>
    <xf numFmtId="164" fontId="29" fillId="0" borderId="10" xfId="45" applyNumberFormat="1" applyFont="1" applyFill="1" applyBorder="1" applyAlignment="1" applyProtection="1">
      <alignment horizontal="center" vertical="top"/>
    </xf>
    <xf numFmtId="164" fontId="32" fillId="0" borderId="0" xfId="45" applyNumberFormat="1" applyFont="1" applyFill="1" applyBorder="1" applyAlignment="1" applyProtection="1">
      <alignment vertical="top"/>
    </xf>
    <xf numFmtId="164" fontId="29" fillId="29" borderId="10" xfId="45" applyNumberFormat="1" applyFont="1" applyFill="1" applyBorder="1" applyAlignment="1" applyProtection="1">
      <alignment horizontal="center" vertical="top"/>
    </xf>
    <xf numFmtId="2" fontId="29" fillId="35" borderId="15" xfId="45" applyNumberFormat="1" applyFont="1" applyFill="1" applyBorder="1" applyAlignment="1" applyProtection="1">
      <alignment horizontal="center" vertical="top"/>
    </xf>
    <xf numFmtId="2" fontId="29" fillId="35" borderId="10" xfId="45" applyNumberFormat="1" applyFont="1" applyFill="1" applyBorder="1" applyAlignment="1" applyProtection="1">
      <alignment horizontal="center" vertical="top"/>
    </xf>
    <xf numFmtId="2" fontId="29" fillId="29" borderId="10" xfId="45" applyNumberFormat="1" applyFont="1" applyFill="1" applyBorder="1" applyAlignment="1" applyProtection="1">
      <alignment horizontal="center" vertical="top"/>
    </xf>
    <xf numFmtId="2" fontId="29" fillId="0" borderId="10" xfId="45" applyNumberFormat="1" applyFont="1" applyFill="1" applyBorder="1" applyAlignment="1" applyProtection="1">
      <alignment horizontal="center" vertical="top"/>
    </xf>
    <xf numFmtId="2" fontId="29" fillId="0" borderId="10" xfId="45" applyNumberFormat="1" applyFont="1" applyFill="1" applyBorder="1" applyAlignment="1" applyProtection="1">
      <alignment vertical="top"/>
    </xf>
    <xf numFmtId="0" fontId="30" fillId="26" borderId="12" xfId="0" applyFont="1" applyFill="1" applyBorder="1" applyAlignment="1">
      <alignment horizontal="center"/>
    </xf>
    <xf numFmtId="0" fontId="30" fillId="26" borderId="14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/>
    </xf>
    <xf numFmtId="0" fontId="28" fillId="32" borderId="0" xfId="0" applyFont="1" applyFill="1" applyAlignment="1">
      <alignment horizontal="left"/>
    </xf>
    <xf numFmtId="0" fontId="29" fillId="34" borderId="10" xfId="0" applyFont="1" applyFill="1" applyBorder="1" applyAlignment="1">
      <alignment horizontal="left"/>
    </xf>
    <xf numFmtId="0" fontId="29" fillId="34" borderId="12" xfId="0" applyFont="1" applyFill="1" applyBorder="1" applyAlignment="1">
      <alignment horizontal="left"/>
    </xf>
    <xf numFmtId="0" fontId="29" fillId="34" borderId="13" xfId="0" applyFont="1" applyFill="1" applyBorder="1" applyAlignment="1">
      <alignment horizontal="left"/>
    </xf>
    <xf numFmtId="0" fontId="29" fillId="24" borderId="12" xfId="0" applyFont="1" applyFill="1" applyBorder="1" applyAlignment="1" applyProtection="1">
      <alignment horizontal="center"/>
    </xf>
    <xf numFmtId="0" fontId="29" fillId="24" borderId="13" xfId="0" applyFont="1" applyFill="1" applyBorder="1" applyAlignment="1" applyProtection="1">
      <alignment horizontal="center"/>
    </xf>
    <xf numFmtId="0" fontId="29" fillId="24" borderId="12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0" fillId="26" borderId="12" xfId="0" applyFont="1" applyFill="1" applyBorder="1" applyAlignment="1">
      <alignment horizontal="center" wrapText="1"/>
    </xf>
    <xf numFmtId="0" fontId="29" fillId="25" borderId="12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9" borderId="12" xfId="0" applyFont="1" applyFill="1" applyBorder="1" applyAlignment="1">
      <alignment horizontal="center"/>
    </xf>
    <xf numFmtId="0" fontId="29" fillId="29" borderId="14" xfId="0" applyFont="1" applyFill="1" applyBorder="1" applyAlignment="1">
      <alignment horizontal="center"/>
    </xf>
    <xf numFmtId="0" fontId="29" fillId="29" borderId="13" xfId="0" applyFont="1" applyFill="1" applyBorder="1" applyAlignment="1">
      <alignment horizontal="center"/>
    </xf>
    <xf numFmtId="0" fontId="29" fillId="29" borderId="10" xfId="0" applyFont="1" applyFill="1" applyBorder="1" applyAlignment="1">
      <alignment horizontal="center"/>
    </xf>
    <xf numFmtId="165" fontId="29" fillId="29" borderId="10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165" fontId="29" fillId="34" borderId="10" xfId="0" applyNumberFormat="1" applyFont="1" applyFill="1" applyBorder="1" applyAlignment="1">
      <alignment horizontal="left"/>
    </xf>
    <xf numFmtId="0" fontId="29" fillId="34" borderId="11" xfId="0" applyFont="1" applyFill="1" applyBorder="1" applyAlignment="1">
      <alignment horizontal="left" vertical="center"/>
    </xf>
    <xf numFmtId="0" fontId="29" fillId="34" borderId="15" xfId="0" applyFont="1" applyFill="1" applyBorder="1" applyAlignment="1">
      <alignment horizontal="left" vertical="center"/>
    </xf>
    <xf numFmtId="0" fontId="29" fillId="0" borderId="13" xfId="0" applyFont="1" applyBorder="1"/>
    <xf numFmtId="165" fontId="29" fillId="34" borderId="13" xfId="0" applyNumberFormat="1" applyFont="1" applyFill="1" applyBorder="1" applyAlignment="1">
      <alignment horizontal="left"/>
    </xf>
    <xf numFmtId="2" fontId="29" fillId="0" borderId="12" xfId="0" applyNumberFormat="1" applyFont="1" applyBorder="1" applyAlignment="1">
      <alignment horizontal="center"/>
    </xf>
    <xf numFmtId="2" fontId="29" fillId="0" borderId="13" xfId="0" applyNumberFormat="1" applyFont="1" applyBorder="1"/>
    <xf numFmtId="165" fontId="29" fillId="28" borderId="10" xfId="0" applyNumberFormat="1" applyFont="1" applyFill="1" applyBorder="1" applyAlignment="1">
      <alignment horizontal="center"/>
    </xf>
    <xf numFmtId="165" fontId="29" fillId="34" borderId="10" xfId="0" applyNumberFormat="1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165" fontId="29" fillId="28" borderId="12" xfId="0" applyNumberFormat="1" applyFont="1" applyFill="1" applyBorder="1" applyAlignment="1">
      <alignment horizontal="left"/>
    </xf>
    <xf numFmtId="165" fontId="29" fillId="28" borderId="13" xfId="0" applyNumberFormat="1" applyFont="1" applyFill="1" applyBorder="1" applyAlignment="1">
      <alignment horizontal="left"/>
    </xf>
    <xf numFmtId="165" fontId="29" fillId="34" borderId="12" xfId="0" applyNumberFormat="1" applyFont="1" applyFill="1" applyBorder="1" applyAlignment="1">
      <alignment horizontal="left"/>
    </xf>
    <xf numFmtId="165" fontId="29" fillId="34" borderId="12" xfId="0" applyNumberFormat="1" applyFont="1" applyFill="1" applyBorder="1" applyAlignment="1">
      <alignment horizontal="center"/>
    </xf>
    <xf numFmtId="165" fontId="29" fillId="34" borderId="14" xfId="0" applyNumberFormat="1" applyFont="1" applyFill="1" applyBorder="1" applyAlignment="1">
      <alignment horizontal="center"/>
    </xf>
    <xf numFmtId="0" fontId="28" fillId="33" borderId="19" xfId="0" applyFont="1" applyFill="1" applyBorder="1" applyAlignment="1">
      <alignment horizontal="left"/>
    </xf>
    <xf numFmtId="0" fontId="29" fillId="34" borderId="12" xfId="0" applyFont="1" applyFill="1" applyBorder="1" applyAlignment="1">
      <alignment horizontal="left" wrapText="1"/>
    </xf>
    <xf numFmtId="0" fontId="29" fillId="34" borderId="13" xfId="0" applyFont="1" applyFill="1" applyBorder="1" applyAlignment="1">
      <alignment horizontal="left" wrapText="1"/>
    </xf>
    <xf numFmtId="0" fontId="30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27" borderId="18" xfId="0" applyFont="1" applyFill="1" applyBorder="1" applyAlignment="1">
      <alignment horizontal="center"/>
    </xf>
    <xf numFmtId="0" fontId="29" fillId="27" borderId="17" xfId="0" applyFont="1" applyFill="1" applyBorder="1" applyAlignment="1">
      <alignment horizontal="center"/>
    </xf>
    <xf numFmtId="0" fontId="29" fillId="27" borderId="12" xfId="0" applyFont="1" applyFill="1" applyBorder="1" applyAlignment="1">
      <alignment horizontal="center"/>
    </xf>
    <xf numFmtId="0" fontId="29" fillId="27" borderId="13" xfId="0" applyFont="1" applyFill="1" applyBorder="1" applyAlignment="1">
      <alignment horizontal="center"/>
    </xf>
    <xf numFmtId="0" fontId="22" fillId="0" borderId="0" xfId="45" applyNumberFormat="1" applyFont="1" applyFill="1" applyBorder="1" applyAlignment="1" applyProtection="1">
      <alignment horizontal="center" vertical="top"/>
    </xf>
    <xf numFmtId="0" fontId="23" fillId="0" borderId="0" xfId="45" applyNumberFormat="1" applyFont="1" applyFill="1" applyBorder="1" applyAlignment="1" applyProtection="1">
      <alignment horizontal="center" vertical="top" wrapText="1"/>
    </xf>
    <xf numFmtId="0" fontId="30" fillId="25" borderId="12" xfId="45" applyNumberFormat="1" applyFont="1" applyFill="1" applyBorder="1" applyAlignment="1" applyProtection="1">
      <alignment horizontal="center" vertical="top" wrapText="1"/>
    </xf>
    <xf numFmtId="0" fontId="30" fillId="25" borderId="13" xfId="45" applyNumberFormat="1" applyFont="1" applyFill="1" applyBorder="1" applyAlignment="1" applyProtection="1">
      <alignment horizontal="center" vertical="top" wrapText="1"/>
    </xf>
    <xf numFmtId="0" fontId="29" fillId="0" borderId="19" xfId="45" applyNumberFormat="1" applyFont="1" applyFill="1" applyBorder="1" applyAlignment="1" applyProtection="1">
      <alignment horizontal="center" vertical="top" wrapText="1"/>
    </xf>
    <xf numFmtId="0" fontId="23" fillId="0" borderId="0" xfId="45" applyNumberFormat="1" applyFont="1" applyFill="1" applyBorder="1" applyAlignment="1" applyProtection="1">
      <alignment horizontal="center" vertical="top"/>
    </xf>
    <xf numFmtId="0" fontId="33" fillId="25" borderId="11" xfId="45" applyNumberFormat="1" applyFont="1" applyFill="1" applyBorder="1" applyAlignment="1" applyProtection="1">
      <alignment horizontal="center" vertical="center"/>
    </xf>
    <xf numFmtId="0" fontId="33" fillId="25" borderId="15" xfId="45" applyNumberFormat="1" applyFont="1" applyFill="1" applyBorder="1" applyAlignment="1" applyProtection="1">
      <alignment horizontal="center" vertical="center"/>
    </xf>
    <xf numFmtId="0" fontId="30" fillId="25" borderId="12" xfId="45" applyNumberFormat="1" applyFont="1" applyFill="1" applyBorder="1" applyAlignment="1" applyProtection="1">
      <alignment horizontal="center" vertical="top"/>
    </xf>
    <xf numFmtId="0" fontId="30" fillId="25" borderId="13" xfId="45" applyNumberFormat="1" applyFont="1" applyFill="1" applyBorder="1" applyAlignment="1" applyProtection="1">
      <alignment horizontal="center" vertical="top"/>
    </xf>
    <xf numFmtId="0" fontId="28" fillId="0" borderId="0" xfId="45" applyNumberFormat="1" applyFont="1" applyFill="1" applyBorder="1" applyAlignment="1" applyProtection="1">
      <alignment horizontal="center" vertical="top"/>
    </xf>
    <xf numFmtId="0" fontId="29" fillId="0" borderId="0" xfId="45" applyNumberFormat="1" applyFont="1" applyFill="1" applyBorder="1" applyAlignment="1" applyProtection="1">
      <alignment horizontal="center" vertical="top" wrapText="1"/>
    </xf>
    <xf numFmtId="0" fontId="30" fillId="25" borderId="10" xfId="45" applyNumberFormat="1" applyFont="1" applyFill="1" applyBorder="1" applyAlignment="1" applyProtection="1">
      <alignment horizontal="center" vertical="top"/>
    </xf>
    <xf numFmtId="0" fontId="29" fillId="0" borderId="0" xfId="45" applyNumberFormat="1" applyFont="1" applyFill="1" applyBorder="1" applyAlignment="1" applyProtection="1">
      <alignment horizontal="center" vertical="top"/>
    </xf>
    <xf numFmtId="0" fontId="29" fillId="0" borderId="19" xfId="45" applyNumberFormat="1" applyFont="1" applyFill="1" applyBorder="1" applyAlignment="1" applyProtection="1">
      <alignment horizontal="center" vertical="top"/>
    </xf>
    <xf numFmtId="0" fontId="30" fillId="25" borderId="10" xfId="45" applyNumberFormat="1" applyFont="1" applyFill="1" applyBorder="1" applyAlignment="1" applyProtection="1">
      <alignment horizontal="center" vertical="top"/>
    </xf>
    <xf numFmtId="0" fontId="29" fillId="0" borderId="10" xfId="45" applyNumberFormat="1" applyFont="1" applyFill="1" applyBorder="1" applyAlignment="1" applyProtection="1">
      <alignment horizontal="center" vertical="center"/>
    </xf>
    <xf numFmtId="164" fontId="29" fillId="0" borderId="10" xfId="45" applyNumberFormat="1" applyFont="1" applyFill="1" applyBorder="1" applyAlignment="1" applyProtection="1">
      <alignment vertical="top"/>
    </xf>
    <xf numFmtId="0" fontId="30" fillId="28" borderId="13" xfId="0" applyFont="1" applyFill="1" applyBorder="1" applyProtection="1">
      <protection locked="0"/>
    </xf>
    <xf numFmtId="0" fontId="30" fillId="28" borderId="10" xfId="0" applyFont="1" applyFill="1" applyBorder="1" applyProtection="1">
      <protection locked="0"/>
    </xf>
    <xf numFmtId="0" fontId="30" fillId="28" borderId="16" xfId="0" applyFont="1" applyFill="1" applyBorder="1" applyProtection="1">
      <protection locked="0"/>
    </xf>
    <xf numFmtId="0" fontId="30" fillId="28" borderId="11" xfId="0" applyFont="1" applyFill="1" applyBorder="1" applyProtection="1">
      <protection locked="0"/>
    </xf>
  </cellXfs>
  <cellStyles count="117"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Акцент1" xfId="1" builtinId="30" customBuiltin="1"/>
    <cellStyle name="20% — акцент1" xfId="97"/>
    <cellStyle name="20% - Акцент2" xfId="2" builtinId="34" customBuiltin="1"/>
    <cellStyle name="20% — акцент2" xfId="98"/>
    <cellStyle name="20% - Акцент3" xfId="3" builtinId="38" customBuiltin="1"/>
    <cellStyle name="20% — акцент3" xfId="99"/>
    <cellStyle name="20% - Акцент4" xfId="4" builtinId="42" customBuiltin="1"/>
    <cellStyle name="20% — акцент4" xfId="100"/>
    <cellStyle name="20% - Акцент5" xfId="5" builtinId="46" customBuiltin="1"/>
    <cellStyle name="20% — акцент5" xfId="101"/>
    <cellStyle name="20% - Акцент6" xfId="6" builtinId="50" customBuiltin="1"/>
    <cellStyle name="20% — акцент6" xfId="10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Акцент1" xfId="7" builtinId="31" customBuiltin="1"/>
    <cellStyle name="40% — акцент1" xfId="103"/>
    <cellStyle name="40% - Акцент2" xfId="8" builtinId="35" customBuiltin="1"/>
    <cellStyle name="40% — акцент2" xfId="104"/>
    <cellStyle name="40% - Акцент3" xfId="9" builtinId="39" customBuiltin="1"/>
    <cellStyle name="40% — акцент3" xfId="105"/>
    <cellStyle name="40% - Акцент4" xfId="10" builtinId="43" customBuiltin="1"/>
    <cellStyle name="40% — акцент4" xfId="106"/>
    <cellStyle name="40% - Акцент5" xfId="11" builtinId="47" customBuiltin="1"/>
    <cellStyle name="40% — акцент5" xfId="107"/>
    <cellStyle name="40% - Акцент6" xfId="12" builtinId="51" customBuiltin="1"/>
    <cellStyle name="40% — акцент6" xfId="10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Акцент1" xfId="13" builtinId="32" customBuiltin="1"/>
    <cellStyle name="60% — акцент1" xfId="109"/>
    <cellStyle name="60% - Акцент2" xfId="14" builtinId="36" customBuiltin="1"/>
    <cellStyle name="60% — акцент2" xfId="110"/>
    <cellStyle name="60% - Акцент3" xfId="15" builtinId="40" customBuiltin="1"/>
    <cellStyle name="60% — акцент3" xfId="111"/>
    <cellStyle name="60% - Акцент4" xfId="16" builtinId="44" customBuiltin="1"/>
    <cellStyle name="60% — акцент4" xfId="112"/>
    <cellStyle name="60% - Акцент5" xfId="17" builtinId="48" customBuiltin="1"/>
    <cellStyle name="60% — акцент5" xfId="113"/>
    <cellStyle name="60% - Акцент6" xfId="18" builtinId="52" customBuiltin="1"/>
    <cellStyle name="60% — акцент6" xfId="11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Data" xfId="74"/>
    <cellStyle name="DataSeperated" xfId="75"/>
    <cellStyle name="Excel Built-in Normal" xfId="11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abelIntersect" xfId="83"/>
    <cellStyle name="LabelIntersectVariable" xfId="84"/>
    <cellStyle name="LabelLeft" xfId="85"/>
    <cellStyle name="LabelLeftVariable" xfId="86"/>
    <cellStyle name="LabelTop" xfId="87"/>
    <cellStyle name="LabelTopSeperated" xfId="88"/>
    <cellStyle name="Linked Cell" xfId="89"/>
    <cellStyle name="Neutral" xfId="90"/>
    <cellStyle name="Normal_linearm6" xfId="91"/>
    <cellStyle name="Note" xfId="92"/>
    <cellStyle name="Output" xfId="93"/>
    <cellStyle name="Title" xfId="94"/>
    <cellStyle name="Total" xfId="95"/>
    <cellStyle name="Warning Text" xfId="96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 2" xfId="44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2 2" xfId="45"/>
    <cellStyle name="Обычный 3" xfId="42"/>
    <cellStyle name="Обычный 4" xfId="46"/>
    <cellStyle name="Обычный 5" xfId="116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4"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 patternType="solid">
          <fgColor auto="1"/>
          <bgColor rgb="FF00FF0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  <color rgb="FFFFCCFF"/>
      <color rgb="FFE1FFFF"/>
      <color rgb="FFFFFFCC"/>
      <color rgb="FF69FF69"/>
      <color rgb="FFC1FFE6"/>
      <color rgb="FF9BFFD7"/>
      <color rgb="FF75FFC7"/>
      <color rgb="FF81FF8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Q77"/>
  <sheetViews>
    <sheetView showGridLines="0" tabSelected="1" zoomScaleNormal="100" workbookViewId="0">
      <selection activeCell="R8" sqref="R8"/>
    </sheetView>
  </sheetViews>
  <sheetFormatPr defaultRowHeight="12.75"/>
  <cols>
    <col min="1" max="3" width="9.140625" customWidth="1"/>
    <col min="4" max="4" width="9" customWidth="1"/>
    <col min="5" max="7" width="9.140625" customWidth="1"/>
    <col min="8" max="8" width="9.28515625" customWidth="1"/>
    <col min="9" max="10" width="9.140625" customWidth="1"/>
    <col min="11" max="11" width="9.140625" style="2" customWidth="1"/>
    <col min="12" max="12" width="9.140625" customWidth="1"/>
    <col min="13" max="15" width="10" customWidth="1"/>
    <col min="16" max="16" width="9.140625" customWidth="1"/>
  </cols>
  <sheetData>
    <row r="1" spans="2:15" ht="17.25">
      <c r="B1" s="91" t="s">
        <v>3</v>
      </c>
      <c r="C1" s="91"/>
      <c r="D1" s="91"/>
      <c r="E1" s="3"/>
      <c r="F1" s="3"/>
      <c r="G1" s="3"/>
      <c r="H1" s="3"/>
      <c r="I1" s="4"/>
      <c r="J1" s="3"/>
    </row>
    <row r="2" spans="2:15" ht="15.75">
      <c r="B2" s="92" t="s">
        <v>4</v>
      </c>
      <c r="C2" s="92"/>
      <c r="D2" s="5" t="s">
        <v>5</v>
      </c>
      <c r="E2" s="93" t="s">
        <v>6</v>
      </c>
      <c r="F2" s="94"/>
      <c r="G2" s="6">
        <v>5</v>
      </c>
      <c r="H2" s="7" t="s">
        <v>7</v>
      </c>
      <c r="I2" s="95">
        <v>2</v>
      </c>
      <c r="J2" s="96"/>
    </row>
    <row r="3" spans="2:15" ht="15.75">
      <c r="B3" s="92" t="s">
        <v>8</v>
      </c>
      <c r="C3" s="92"/>
      <c r="D3" s="5" t="s">
        <v>9</v>
      </c>
      <c r="E3" s="93" t="s">
        <v>10</v>
      </c>
      <c r="F3" s="94"/>
      <c r="G3" s="6">
        <v>5</v>
      </c>
      <c r="H3" s="7" t="s">
        <v>11</v>
      </c>
      <c r="I3" s="97" t="s">
        <v>12</v>
      </c>
      <c r="J3" s="98"/>
    </row>
    <row r="4" spans="2:15" ht="12" customHeight="1"/>
    <row r="5" spans="2:15" ht="15.75">
      <c r="B5" s="87" t="s">
        <v>2</v>
      </c>
      <c r="C5" s="88"/>
      <c r="D5" s="88"/>
      <c r="E5" s="88"/>
      <c r="F5" s="88"/>
      <c r="G5" s="89"/>
      <c r="H5" s="99" t="s">
        <v>13</v>
      </c>
      <c r="I5" s="88"/>
      <c r="J5" s="88"/>
      <c r="K5" s="89"/>
      <c r="L5" s="87" t="s">
        <v>14</v>
      </c>
      <c r="M5" s="88"/>
      <c r="N5" s="88"/>
      <c r="O5" s="89"/>
    </row>
    <row r="6" spans="2:15" ht="15.75">
      <c r="B6" s="100" t="s">
        <v>15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15" ht="15.75">
      <c r="B7" s="8" t="s">
        <v>16</v>
      </c>
      <c r="C7" s="8" t="s">
        <v>17</v>
      </c>
      <c r="D7" s="8" t="s">
        <v>18</v>
      </c>
      <c r="E7" s="8" t="s">
        <v>19</v>
      </c>
      <c r="F7" s="8" t="s">
        <v>20</v>
      </c>
      <c r="G7" s="8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10" t="s">
        <v>26</v>
      </c>
      <c r="M7" s="10" t="s">
        <v>24</v>
      </c>
      <c r="N7" s="10" t="s">
        <v>27</v>
      </c>
      <c r="O7" s="10" t="s">
        <v>28</v>
      </c>
    </row>
    <row r="8" spans="2:15" ht="15.75" customHeight="1">
      <c r="B8" s="11">
        <v>42395</v>
      </c>
      <c r="C8" s="153">
        <v>139</v>
      </c>
      <c r="D8" s="154">
        <v>139</v>
      </c>
      <c r="E8" s="154">
        <v>138</v>
      </c>
      <c r="F8" s="154">
        <v>138</v>
      </c>
      <c r="G8" s="154">
        <v>140</v>
      </c>
      <c r="H8" s="12">
        <f>SUM(C8:G8)</f>
        <v>694</v>
      </c>
      <c r="I8" s="13">
        <f>AVERAGE(C8:G8)</f>
        <v>138.80000000000001</v>
      </c>
      <c r="J8" s="14">
        <f>STDEV(C8:G8)</f>
        <v>0.83666002653451033</v>
      </c>
      <c r="K8" s="13">
        <f>J8*J8</f>
        <v>0.70000000000072748</v>
      </c>
      <c r="L8" s="14">
        <f>AVERAGE(C8:G12)</f>
        <v>140.12</v>
      </c>
      <c r="M8" s="14">
        <f>STDEV(C8:G12)</f>
        <v>2.315167380558171</v>
      </c>
      <c r="N8" s="13">
        <f>L8+3.135*M8</f>
        <v>147.37804973804987</v>
      </c>
      <c r="O8" s="13">
        <f>L8-3.135*M8</f>
        <v>132.86195026195014</v>
      </c>
    </row>
    <row r="9" spans="2:15" ht="15.75" customHeight="1">
      <c r="B9" s="11">
        <v>42396</v>
      </c>
      <c r="C9" s="153">
        <v>140</v>
      </c>
      <c r="D9" s="154">
        <v>143</v>
      </c>
      <c r="E9" s="154">
        <v>141</v>
      </c>
      <c r="F9" s="154">
        <v>143</v>
      </c>
      <c r="G9" s="154">
        <v>137</v>
      </c>
      <c r="H9" s="12">
        <f>SUM(C9:G9)</f>
        <v>704</v>
      </c>
      <c r="I9" s="13">
        <f>AVERAGE(C9:G9)</f>
        <v>140.80000000000001</v>
      </c>
      <c r="J9" s="14">
        <f>STDEV(C9:G9)</f>
        <v>2.4899799195977463</v>
      </c>
      <c r="K9" s="13">
        <f>J9*J9</f>
        <v>6.1999999999999993</v>
      </c>
      <c r="O9" s="15"/>
    </row>
    <row r="10" spans="2:15" ht="15.75">
      <c r="B10" s="11">
        <v>42397</v>
      </c>
      <c r="C10" s="153">
        <v>141</v>
      </c>
      <c r="D10" s="154">
        <v>138</v>
      </c>
      <c r="E10" s="154">
        <v>136</v>
      </c>
      <c r="F10" s="154">
        <v>141</v>
      </c>
      <c r="G10" s="154">
        <v>136</v>
      </c>
      <c r="H10" s="12">
        <f>SUM(C10:G10)</f>
        <v>692</v>
      </c>
      <c r="I10" s="13">
        <f>AVERAGE(C10:G10)</f>
        <v>138.4</v>
      </c>
      <c r="J10" s="14">
        <f>STDEV(C10:G10)</f>
        <v>2.5099800796022267</v>
      </c>
      <c r="K10" s="13">
        <f>J10*J10</f>
        <v>6.3</v>
      </c>
      <c r="O10" s="15"/>
    </row>
    <row r="11" spans="2:15" ht="15.75">
      <c r="B11" s="11">
        <v>42398</v>
      </c>
      <c r="C11" s="153">
        <v>141</v>
      </c>
      <c r="D11" s="154">
        <v>144</v>
      </c>
      <c r="E11" s="154">
        <v>142</v>
      </c>
      <c r="F11" s="154">
        <v>143</v>
      </c>
      <c r="G11" s="154">
        <v>144</v>
      </c>
      <c r="H11" s="12">
        <f>SUM(C11:G11)</f>
        <v>714</v>
      </c>
      <c r="I11" s="13">
        <f>AVERAGE(C11:G11)</f>
        <v>142.80000000000001</v>
      </c>
      <c r="J11" s="14">
        <f>STDEV(C11:G11)</f>
        <v>1.3038404810405297</v>
      </c>
      <c r="K11" s="13">
        <f>J11*J11</f>
        <v>1.7</v>
      </c>
      <c r="O11" s="15"/>
    </row>
    <row r="12" spans="2:15" ht="15.75" customHeight="1">
      <c r="B12" s="11">
        <v>42399</v>
      </c>
      <c r="C12" s="155">
        <v>139</v>
      </c>
      <c r="D12" s="156">
        <v>140</v>
      </c>
      <c r="E12" s="156">
        <v>141</v>
      </c>
      <c r="F12" s="156">
        <v>138</v>
      </c>
      <c r="G12" s="156">
        <v>141</v>
      </c>
      <c r="H12" s="16">
        <f>SUM(C12:G12)</f>
        <v>699</v>
      </c>
      <c r="I12" s="17">
        <f>AVERAGE(C12:G12)</f>
        <v>139.80000000000001</v>
      </c>
      <c r="J12" s="18">
        <f>STDEV(C12:G12)</f>
        <v>1.3038404810405297</v>
      </c>
      <c r="K12" s="17">
        <f>J12*J12</f>
        <v>1.7</v>
      </c>
      <c r="L12" s="15"/>
      <c r="M12" s="15"/>
      <c r="N12" s="15"/>
    </row>
    <row r="13" spans="2:15" ht="15.75">
      <c r="B13" s="100" t="s">
        <v>29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</row>
    <row r="14" spans="2:15" ht="15.75" customHeight="1">
      <c r="B14" s="8" t="s">
        <v>16</v>
      </c>
      <c r="C14" s="8" t="s">
        <v>17</v>
      </c>
      <c r="D14" s="8" t="s">
        <v>18</v>
      </c>
      <c r="E14" s="8" t="s">
        <v>19</v>
      </c>
      <c r="F14" s="8" t="s">
        <v>20</v>
      </c>
      <c r="G14" s="8" t="s">
        <v>21</v>
      </c>
      <c r="H14" s="9" t="s">
        <v>22</v>
      </c>
      <c r="I14" s="9" t="s">
        <v>23</v>
      </c>
      <c r="J14" s="9" t="s">
        <v>24</v>
      </c>
      <c r="K14" s="9" t="s">
        <v>25</v>
      </c>
      <c r="L14" s="10" t="s">
        <v>26</v>
      </c>
      <c r="M14" s="10" t="s">
        <v>24</v>
      </c>
      <c r="N14" s="10" t="s">
        <v>27</v>
      </c>
      <c r="O14" s="10" t="s">
        <v>28</v>
      </c>
    </row>
    <row r="15" spans="2:15" ht="15.75" customHeight="1">
      <c r="B15" s="11">
        <v>42395</v>
      </c>
      <c r="C15" s="154">
        <v>606</v>
      </c>
      <c r="D15" s="154">
        <v>627</v>
      </c>
      <c r="E15" s="154">
        <v>621</v>
      </c>
      <c r="F15" s="154">
        <v>606</v>
      </c>
      <c r="G15" s="154">
        <v>620</v>
      </c>
      <c r="H15" s="12">
        <f>SUM(C15:G15)</f>
        <v>3080</v>
      </c>
      <c r="I15" s="13">
        <f>AVERAGE(C15:G15)</f>
        <v>616</v>
      </c>
      <c r="J15" s="14">
        <f>STDEV(C15:G15)</f>
        <v>9.5131487952202232</v>
      </c>
      <c r="K15" s="13">
        <f>J15*J15</f>
        <v>90.499999999999986</v>
      </c>
      <c r="L15" s="14">
        <f>AVERAGE(C15:G19)</f>
        <v>622.88</v>
      </c>
      <c r="M15" s="14">
        <f>STDEV(C15:G19)</f>
        <v>14.107681122943864</v>
      </c>
      <c r="N15" s="13">
        <f>L15+3.135*M15</f>
        <v>667.10758032042895</v>
      </c>
      <c r="O15" s="13">
        <f>L15-3.135*M15</f>
        <v>578.65241967957104</v>
      </c>
    </row>
    <row r="16" spans="2:15" ht="15.75" customHeight="1">
      <c r="B16" s="11">
        <v>42396</v>
      </c>
      <c r="C16" s="154">
        <v>612</v>
      </c>
      <c r="D16" s="154">
        <v>610</v>
      </c>
      <c r="E16" s="154">
        <v>611</v>
      </c>
      <c r="F16" s="154">
        <v>595</v>
      </c>
      <c r="G16" s="154">
        <v>630</v>
      </c>
      <c r="H16" s="12">
        <f>SUM(C16:G16)</f>
        <v>3058</v>
      </c>
      <c r="I16" s="13">
        <f>AVERAGE(C16:G16)</f>
        <v>611.6</v>
      </c>
      <c r="J16" s="14">
        <f>STDEV(C16:G16)</f>
        <v>12.421755109484328</v>
      </c>
      <c r="K16" s="13">
        <f>J16*J16</f>
        <v>154.30000000000001</v>
      </c>
      <c r="O16" s="15"/>
    </row>
    <row r="17" spans="2:17" ht="15.75" customHeight="1">
      <c r="B17" s="11">
        <v>42397</v>
      </c>
      <c r="C17" s="154">
        <v>649</v>
      </c>
      <c r="D17" s="154">
        <v>626</v>
      </c>
      <c r="E17" s="154">
        <v>636</v>
      </c>
      <c r="F17" s="154">
        <v>639</v>
      </c>
      <c r="G17" s="154">
        <v>648</v>
      </c>
      <c r="H17" s="12">
        <f>SUM(C17:G17)</f>
        <v>3198</v>
      </c>
      <c r="I17" s="13">
        <f>AVERAGE(C17:G17)</f>
        <v>639.6</v>
      </c>
      <c r="J17" s="14">
        <f>STDEV(C17:G17)</f>
        <v>9.44986772394196</v>
      </c>
      <c r="K17" s="13">
        <f>J17*J17</f>
        <v>89.3</v>
      </c>
      <c r="O17" s="15"/>
    </row>
    <row r="18" spans="2:17" ht="15.75" customHeight="1">
      <c r="B18" s="11">
        <v>42398</v>
      </c>
      <c r="C18" s="154">
        <v>615</v>
      </c>
      <c r="D18" s="154">
        <v>633</v>
      </c>
      <c r="E18" s="154">
        <v>605</v>
      </c>
      <c r="F18" s="154">
        <v>616</v>
      </c>
      <c r="G18" s="154">
        <v>625</v>
      </c>
      <c r="H18" s="12">
        <f>SUM(C18:G18)</f>
        <v>3094</v>
      </c>
      <c r="I18" s="13">
        <f>AVERAGE(C18:G18)</f>
        <v>618.79999999999995</v>
      </c>
      <c r="J18" s="14">
        <f>STDEV(C18:G18)</f>
        <v>10.639548862616309</v>
      </c>
      <c r="K18" s="13">
        <f>J18*J18</f>
        <v>113.19999999999999</v>
      </c>
      <c r="O18" s="15"/>
      <c r="Q18" t="s">
        <v>1</v>
      </c>
    </row>
    <row r="19" spans="2:17" ht="15.75" customHeight="1">
      <c r="B19" s="11">
        <v>42399</v>
      </c>
      <c r="C19" s="154">
        <v>622</v>
      </c>
      <c r="D19" s="154">
        <v>632</v>
      </c>
      <c r="E19" s="154">
        <v>646</v>
      </c>
      <c r="F19" s="154">
        <v>619</v>
      </c>
      <c r="G19" s="154">
        <v>623</v>
      </c>
      <c r="H19" s="12">
        <f>SUM(C19:G19)</f>
        <v>3142</v>
      </c>
      <c r="I19" s="13">
        <f>AVERAGE(C19:G19)</f>
        <v>628.4</v>
      </c>
      <c r="J19" s="14">
        <f>STDEV(C19:G19)</f>
        <v>10.968135666557011</v>
      </c>
      <c r="K19" s="13">
        <f>J19*J19</f>
        <v>120.3</v>
      </c>
      <c r="L19" s="15"/>
      <c r="M19" s="15"/>
      <c r="N19" s="15"/>
      <c r="P19" s="15"/>
    </row>
    <row r="20" spans="2:17" ht="12.75" customHeight="1">
      <c r="K20"/>
    </row>
    <row r="21" spans="2:17" ht="15.75" customHeight="1">
      <c r="B21" s="87" t="s">
        <v>30</v>
      </c>
      <c r="C21" s="88"/>
      <c r="D21" s="88"/>
      <c r="E21" s="88"/>
      <c r="F21" s="88"/>
      <c r="G21" s="89"/>
      <c r="H21" s="90" t="s">
        <v>31</v>
      </c>
      <c r="I21" s="90"/>
      <c r="J21" s="90"/>
      <c r="K21" s="90"/>
      <c r="L21" s="90"/>
      <c r="M21" s="90"/>
      <c r="N21" s="90"/>
      <c r="O21" s="90"/>
      <c r="P21" s="90"/>
    </row>
    <row r="22" spans="2:17" ht="15.75" customHeight="1">
      <c r="B22" s="100" t="s">
        <v>15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</row>
    <row r="23" spans="2:17" ht="15.75">
      <c r="B23" s="103" t="s">
        <v>32</v>
      </c>
      <c r="C23" s="104"/>
      <c r="D23" s="105"/>
      <c r="E23" s="19" t="s">
        <v>33</v>
      </c>
      <c r="F23" s="19" t="s">
        <v>34</v>
      </c>
      <c r="G23" s="19" t="s">
        <v>35</v>
      </c>
      <c r="H23" s="106" t="s">
        <v>36</v>
      </c>
      <c r="I23" s="106"/>
      <c r="J23" s="106"/>
      <c r="K23" s="107" t="s">
        <v>37</v>
      </c>
      <c r="L23" s="107"/>
      <c r="M23" s="107"/>
      <c r="N23" s="107"/>
      <c r="O23" s="107"/>
      <c r="P23" s="107"/>
    </row>
    <row r="24" spans="2:17" ht="15.75" customHeight="1">
      <c r="B24" s="92" t="s">
        <v>38</v>
      </c>
      <c r="C24" s="92"/>
      <c r="D24" s="92"/>
      <c r="E24" s="20">
        <f>G2*(POWER(AVERAGE(C8:G8)-L8,2))+G2*(POWER(AVERAGE(C9:G9)-L8,2))+G2*(POWER(AVERAGE(C10:G10)-L8,2))+G2*(POWER(AVERAGE(C11:G11)-L8,2))+G2*(POWER(AVERAGE(C12:G12)-L8,2))</f>
        <v>62.240000000000101</v>
      </c>
      <c r="F24" s="21">
        <f>G3-1</f>
        <v>4</v>
      </c>
      <c r="G24" s="22">
        <f>E24/F24</f>
        <v>15.560000000000025</v>
      </c>
      <c r="H24" s="23" t="s">
        <v>39</v>
      </c>
      <c r="I24" s="108">
        <f>G25</f>
        <v>3.3199999999999981</v>
      </c>
      <c r="J24" s="109"/>
      <c r="K24" s="110" t="s">
        <v>40</v>
      </c>
      <c r="L24" s="110"/>
      <c r="M24" s="24" t="s">
        <v>41</v>
      </c>
      <c r="N24" s="25">
        <f>SQRT(I24)</f>
        <v>1.8220867158288592</v>
      </c>
      <c r="O24" s="24" t="s">
        <v>42</v>
      </c>
      <c r="P24" s="25">
        <f>(N24/$L$8)*100</f>
        <v>1.3003759033891373</v>
      </c>
    </row>
    <row r="25" spans="2:17" ht="15.75">
      <c r="B25" s="92" t="s">
        <v>43</v>
      </c>
      <c r="C25" s="92"/>
      <c r="D25" s="92"/>
      <c r="E25" s="20">
        <f>POWER(AVERAGE(C8:G8)-C8,2)+POWER(AVERAGE(C8:G8)-D8,2)+POWER(AVERAGE(C8:G8)-E8,2)+POWER(AVERAGE(C8:G8)-F8,2)+POWER(AVERAGE(C8:G8)-G8,2)+POWER(AVERAGE(C9:G9)-C9,2)+POWER(AVERAGE(C9:G9)-D9,2)+POWER(AVERAGE(C9:G9)-E9,2)+POWER(AVERAGE(C9:G9)-F9,2)+POWER(AVERAGE(C9:G9)-G9,2)+POWER(AVERAGE(C10:G10)-C10,2)+POWER(AVERAGE(C10:G10)-D10,2)+POWER(AVERAGE(C10:G10)-E10,2)+POWER(AVERAGE(C10:G10)-F10,2)+POWER(AVERAGE(C10:G10)-G10,2)+POWER(AVERAGE(C11:G11)-C11,2)+POWER(AVERAGE(C11:G11)-D11,2)+POWER(AVERAGE(C11:G11)-E11,2)+POWER(AVERAGE(C11:G11)-F11,2)+POWER(AVERAGE(C11:G11)-G11,2)+POWER(AVERAGE(C12:G12)-C12,2)+POWER(AVERAGE(C12:G12)-D12,2)+POWER(AVERAGE(C12:G12)-E12,2)+POWER(AVERAGE(C12:G12)-F12,2)+POWER(AVERAGE(C12:G12)-G12,2)</f>
        <v>66.399999999999963</v>
      </c>
      <c r="F25" s="21">
        <f>COUNT(C8:G12)-G3</f>
        <v>20</v>
      </c>
      <c r="G25" s="22">
        <f>E25/F25</f>
        <v>3.3199999999999981</v>
      </c>
      <c r="H25" s="111" t="s">
        <v>44</v>
      </c>
      <c r="I25" s="109">
        <f>(G24-G25)/5</f>
        <v>2.4480000000000053</v>
      </c>
      <c r="J25" s="113"/>
      <c r="K25" s="110" t="s">
        <v>45</v>
      </c>
      <c r="L25" s="110"/>
      <c r="M25" s="26" t="s">
        <v>46</v>
      </c>
      <c r="N25" s="14">
        <f>SQRT(I25)</f>
        <v>1.5646085772486373</v>
      </c>
      <c r="O25" s="26" t="s">
        <v>47</v>
      </c>
      <c r="P25" s="14">
        <f>(N25/$L$8)*100</f>
        <v>1.116620451933084</v>
      </c>
    </row>
    <row r="26" spans="2:17" ht="15.75">
      <c r="B26" s="92" t="s">
        <v>48</v>
      </c>
      <c r="C26" s="92"/>
      <c r="D26" s="92"/>
      <c r="E26" s="20">
        <f>E24+E25</f>
        <v>128.64000000000007</v>
      </c>
      <c r="F26" s="21">
        <f>COUNT(C8:G12)-1</f>
        <v>24</v>
      </c>
      <c r="G26" s="27"/>
      <c r="H26" s="112"/>
      <c r="I26" s="109" t="str">
        <f>IF(G24&lt;=G25,"Vb=0","Vb=Calculated")</f>
        <v>Vb=Calculated</v>
      </c>
      <c r="J26" s="113"/>
      <c r="K26" s="114" t="s">
        <v>49</v>
      </c>
      <c r="L26" s="110"/>
      <c r="M26" s="24" t="s">
        <v>50</v>
      </c>
      <c r="N26" s="25">
        <f>SQRT(I24+I25)</f>
        <v>2.4016660883644927</v>
      </c>
      <c r="O26" s="24" t="s">
        <v>51</v>
      </c>
      <c r="P26" s="25">
        <f>(N26/$L$8)*100</f>
        <v>1.7140066288641824</v>
      </c>
    </row>
    <row r="27" spans="2:17" ht="15.75">
      <c r="B27" s="100" t="s">
        <v>29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2:17" ht="15.75">
      <c r="B28" s="92" t="s">
        <v>38</v>
      </c>
      <c r="C28" s="92"/>
      <c r="D28" s="92"/>
      <c r="E28" s="20">
        <f>G2*(POWER(AVERAGE(C15:G15)-L15,2))+G2*(POWER(AVERAGE(C16:G16)-L15,2))+G2*(POWER(AVERAGE(C17:G17)-L15,2))+G2*(POWER(AVERAGE(C18:G18)-L15,2))+G2*(POWER(AVERAGE(C19:G19)-L15,2))</f>
        <v>2506.2400000000016</v>
      </c>
      <c r="F28" s="21">
        <f>G3-1</f>
        <v>4</v>
      </c>
      <c r="G28" s="22">
        <f>E28/F28</f>
        <v>626.5600000000004</v>
      </c>
      <c r="H28" s="23" t="s">
        <v>39</v>
      </c>
      <c r="I28" s="108">
        <f>G29</f>
        <v>113.52000000000001</v>
      </c>
      <c r="J28" s="109"/>
      <c r="K28" s="110" t="s">
        <v>40</v>
      </c>
      <c r="L28" s="110"/>
      <c r="M28" s="24" t="s">
        <v>41</v>
      </c>
      <c r="N28" s="28">
        <f>SQRT(I28)</f>
        <v>10.654576481493763</v>
      </c>
      <c r="O28" s="24" t="s">
        <v>42</v>
      </c>
      <c r="P28" s="25">
        <f>(N28/$L$15)*100</f>
        <v>1.7105343696207556</v>
      </c>
    </row>
    <row r="29" spans="2:17" ht="15.75">
      <c r="B29" s="92" t="s">
        <v>43</v>
      </c>
      <c r="C29" s="92"/>
      <c r="D29" s="92"/>
      <c r="E29" s="20">
        <f>POWER(AVERAGE(C15:G15)-C15,2)+POWER(AVERAGE(C15:G15)-D15,2)+POWER(AVERAGE(C15:G15)-E15,2)+POWER(AVERAGE(C15:G15)-F15,2)+POWER(AVERAGE(C15:G15)-G15,2)+POWER(AVERAGE(C16:G16)-C16,2)+POWER(AVERAGE(C16:G16)-D16,2)+POWER(AVERAGE(C16:G16)-E16,2)+POWER(AVERAGE(C16:G16)-F16,2)+POWER(AVERAGE(C16:G16)-G16,2)+POWER(AVERAGE(C17:G17)-C17,2)+POWER(AVERAGE(C17:G17)-D17,2)+POWER(AVERAGE(C17:G17)-E17,2)+POWER(AVERAGE(C17:G17)-F17,2)+POWER(AVERAGE(C17:G17)-G17,2)+POWER(AVERAGE(C18:G18)-C18,2)+POWER(AVERAGE(C18:G18)-D18,2)+POWER(AVERAGE(C18:G18)-E18,2)+POWER(AVERAGE(C18:G18)-F18,2)+POWER(AVERAGE(C18:G18)-G18,2)+POWER(AVERAGE(C19:G19)-C19,2)+POWER(AVERAGE(C19:G19)-D19,2)+POWER(AVERAGE(C19:G19)-E19,2)+POWER(AVERAGE(C19:G19)-F19,2)+POWER(AVERAGE(C19:G19)-G19,2)</f>
        <v>2270.4</v>
      </c>
      <c r="F29" s="21">
        <f>COUNT(C15:G19)-G3</f>
        <v>20</v>
      </c>
      <c r="G29" s="22">
        <f>E29/F29</f>
        <v>113.52000000000001</v>
      </c>
      <c r="H29" s="111" t="s">
        <v>44</v>
      </c>
      <c r="I29" s="115">
        <f>(G28-G29)/5</f>
        <v>102.60800000000009</v>
      </c>
      <c r="J29" s="116"/>
      <c r="K29" s="110" t="s">
        <v>45</v>
      </c>
      <c r="L29" s="110"/>
      <c r="M29" s="26" t="s">
        <v>46</v>
      </c>
      <c r="N29" s="13">
        <f>SQRT(I29)</f>
        <v>10.129560701234782</v>
      </c>
      <c r="O29" s="26" t="s">
        <v>47</v>
      </c>
      <c r="P29" s="14">
        <f>(N29/$L$15)*100</f>
        <v>1.6262459384206882</v>
      </c>
    </row>
    <row r="30" spans="2:17" ht="15.75">
      <c r="B30" s="92" t="s">
        <v>48</v>
      </c>
      <c r="C30" s="92"/>
      <c r="D30" s="92"/>
      <c r="E30" s="20">
        <f>E28+E29</f>
        <v>4776.6400000000012</v>
      </c>
      <c r="F30" s="21">
        <f>COUNT(C15:G19)-1</f>
        <v>24</v>
      </c>
      <c r="G30" s="27"/>
      <c r="H30" s="112"/>
      <c r="I30" s="109" t="str">
        <f>IF(G28&lt;=G29,"Vb=0","Vb=Calculated")</f>
        <v>Vb=Calculated</v>
      </c>
      <c r="J30" s="113"/>
      <c r="K30" s="114" t="s">
        <v>49</v>
      </c>
      <c r="L30" s="110"/>
      <c r="M30" s="24" t="s">
        <v>50</v>
      </c>
      <c r="N30" s="28">
        <f>SQRT(I28+I29)</f>
        <v>14.701292460188665</v>
      </c>
      <c r="O30" s="24" t="s">
        <v>51</v>
      </c>
      <c r="P30" s="25">
        <f>(N30/$L$15)*100</f>
        <v>2.3602126348877253</v>
      </c>
    </row>
    <row r="31" spans="2:17" ht="12.75" customHeight="1">
      <c r="K31"/>
    </row>
    <row r="32" spans="2:17" ht="15.75">
      <c r="B32" s="90" t="s">
        <v>52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2:16" ht="15.75" customHeight="1">
      <c r="B33" s="119" t="s">
        <v>53</v>
      </c>
      <c r="C33" s="119"/>
      <c r="D33" s="119"/>
      <c r="E33" s="119"/>
      <c r="F33" s="119"/>
      <c r="G33" s="119"/>
      <c r="H33" s="100" t="s">
        <v>54</v>
      </c>
      <c r="I33" s="101"/>
      <c r="J33" s="101"/>
      <c r="K33" s="101"/>
      <c r="L33" s="101"/>
      <c r="M33" s="102"/>
    </row>
    <row r="34" spans="2:16" ht="15.75">
      <c r="B34" s="120" t="s">
        <v>40</v>
      </c>
      <c r="C34" s="121"/>
      <c r="D34" s="29" t="s">
        <v>0</v>
      </c>
      <c r="E34" s="29">
        <v>2.9</v>
      </c>
      <c r="F34" s="30" t="s">
        <v>55</v>
      </c>
      <c r="G34" s="30">
        <v>1.4</v>
      </c>
      <c r="H34" s="122" t="s">
        <v>40</v>
      </c>
      <c r="I34" s="114"/>
      <c r="J34" s="31" t="s">
        <v>0</v>
      </c>
      <c r="K34" s="26">
        <v>9</v>
      </c>
      <c r="L34" s="26" t="s">
        <v>55</v>
      </c>
      <c r="M34" s="26">
        <v>1.6</v>
      </c>
    </row>
    <row r="35" spans="2:16" ht="15.75">
      <c r="B35" s="120" t="s">
        <v>49</v>
      </c>
      <c r="C35" s="121"/>
      <c r="D35" s="32" t="s">
        <v>0</v>
      </c>
      <c r="E35" s="33">
        <v>5.0999999999999996</v>
      </c>
      <c r="F35" s="33" t="s">
        <v>55</v>
      </c>
      <c r="G35" s="33">
        <v>2.4</v>
      </c>
      <c r="H35" s="114" t="s">
        <v>49</v>
      </c>
      <c r="I35" s="110"/>
      <c r="J35" s="31" t="s">
        <v>0</v>
      </c>
      <c r="K35" s="26">
        <v>12</v>
      </c>
      <c r="L35" s="26" t="s">
        <v>55</v>
      </c>
      <c r="M35" s="26">
        <v>2.8</v>
      </c>
    </row>
    <row r="36" spans="2:16" ht="12.75" customHeight="1"/>
    <row r="37" spans="2:16" ht="15.75">
      <c r="B37" s="90" t="s">
        <v>56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2:16" ht="15.75" customHeight="1">
      <c r="B38" s="119" t="s">
        <v>15</v>
      </c>
      <c r="C38" s="119"/>
      <c r="D38" s="119"/>
      <c r="E38" s="119"/>
      <c r="F38" s="119"/>
      <c r="G38" s="119"/>
      <c r="H38" s="119" t="s">
        <v>29</v>
      </c>
      <c r="I38" s="119"/>
      <c r="J38" s="119"/>
      <c r="K38" s="119"/>
      <c r="L38" s="119"/>
      <c r="M38" s="119"/>
    </row>
    <row r="39" spans="2:16" ht="15.75">
      <c r="B39" s="117" t="s">
        <v>40</v>
      </c>
      <c r="C39" s="117"/>
      <c r="D39" s="118" t="s">
        <v>49</v>
      </c>
      <c r="E39" s="118"/>
      <c r="F39" s="118"/>
      <c r="G39" s="118"/>
      <c r="H39" s="117" t="s">
        <v>40</v>
      </c>
      <c r="I39" s="117"/>
      <c r="J39" s="118" t="s">
        <v>49</v>
      </c>
      <c r="K39" s="118"/>
      <c r="L39" s="118"/>
      <c r="M39" s="118"/>
    </row>
    <row r="40" spans="2:16" ht="15.75">
      <c r="B40" s="34" t="s">
        <v>57</v>
      </c>
      <c r="C40" s="35">
        <f>COUNT(C8:G12)-G3</f>
        <v>20</v>
      </c>
      <c r="D40" s="36" t="s">
        <v>58</v>
      </c>
      <c r="E40" s="37">
        <f>E35/E34</f>
        <v>1.7586206896551724</v>
      </c>
      <c r="F40" s="38" t="s">
        <v>59</v>
      </c>
      <c r="G40" s="39">
        <f>VLOOKUP(E42,Table7!H6:J35,3,FALSE)</f>
        <v>1.51</v>
      </c>
      <c r="H40" s="34" t="s">
        <v>57</v>
      </c>
      <c r="I40" s="35">
        <f>COUNT(C15:G19)-G3</f>
        <v>20</v>
      </c>
      <c r="J40" s="36" t="s">
        <v>58</v>
      </c>
      <c r="K40" s="37">
        <f>K35/K34</f>
        <v>1.3333333333333333</v>
      </c>
      <c r="L40" s="38" t="s">
        <v>59</v>
      </c>
      <c r="M40" s="38">
        <f>VLOOKUP(K42,Table7!H6:J35,3,FALSE)</f>
        <v>1.39</v>
      </c>
    </row>
    <row r="41" spans="2:16" ht="15.75">
      <c r="B41" s="38" t="s">
        <v>60</v>
      </c>
      <c r="C41" s="39">
        <f>VLOOKUP(C40,Table7!H6:J35,3,FALSE)</f>
        <v>1.31</v>
      </c>
      <c r="D41" s="26" t="s">
        <v>61</v>
      </c>
      <c r="E41" s="40">
        <f>G35/G34</f>
        <v>1.7142857142857144</v>
      </c>
      <c r="F41" s="38" t="s">
        <v>62</v>
      </c>
      <c r="G41" s="39">
        <f>VLOOKUP(E43,Table7!H6:J35,3,FALSE)</f>
        <v>1.51</v>
      </c>
      <c r="H41" s="38" t="s">
        <v>60</v>
      </c>
      <c r="I41" s="39">
        <f>VLOOKUP(I40,Table7!H6:J35,3,FALSE)</f>
        <v>1.31</v>
      </c>
      <c r="J41" s="26" t="s">
        <v>61</v>
      </c>
      <c r="K41" s="40">
        <f>M35/M34</f>
        <v>1.7499999999999998</v>
      </c>
      <c r="L41" s="38" t="s">
        <v>62</v>
      </c>
      <c r="M41" s="38">
        <f>VLOOKUP(K43,Table7!H6:J35,3,FALSE)</f>
        <v>1.51</v>
      </c>
    </row>
    <row r="42" spans="2:16" ht="15.75">
      <c r="B42" s="33" t="s">
        <v>63</v>
      </c>
      <c r="C42" s="41">
        <f>C41*E34</f>
        <v>3.7989999999999999</v>
      </c>
      <c r="D42" s="38" t="s">
        <v>64</v>
      </c>
      <c r="E42" s="38">
        <f>Table6!G5</f>
        <v>7</v>
      </c>
      <c r="F42" s="26" t="s">
        <v>65</v>
      </c>
      <c r="G42" s="42">
        <f>G40*E35</f>
        <v>7.7009999999999996</v>
      </c>
      <c r="H42" s="33" t="s">
        <v>63</v>
      </c>
      <c r="I42" s="41">
        <f>I41*K34</f>
        <v>11.790000000000001</v>
      </c>
      <c r="J42" s="38" t="s">
        <v>64</v>
      </c>
      <c r="K42" s="38">
        <f>Table6!G7</f>
        <v>12</v>
      </c>
      <c r="L42" s="26" t="s">
        <v>65</v>
      </c>
      <c r="M42" s="42">
        <f>M40*K35</f>
        <v>16.68</v>
      </c>
    </row>
    <row r="43" spans="2:16" ht="15.75">
      <c r="B43" s="33" t="s">
        <v>66</v>
      </c>
      <c r="C43" s="41">
        <f>C41*G34</f>
        <v>1.8339999999999999</v>
      </c>
      <c r="D43" s="38" t="s">
        <v>67</v>
      </c>
      <c r="E43" s="38">
        <f>Table6!G6</f>
        <v>7</v>
      </c>
      <c r="F43" s="26" t="s">
        <v>68</v>
      </c>
      <c r="G43" s="42">
        <f>G41*G35</f>
        <v>3.6239999999999997</v>
      </c>
      <c r="H43" s="33" t="s">
        <v>66</v>
      </c>
      <c r="I43" s="41">
        <f>I41*M34</f>
        <v>2.0960000000000001</v>
      </c>
      <c r="J43" s="38" t="s">
        <v>67</v>
      </c>
      <c r="K43" s="38">
        <f>Table6!G8</f>
        <v>7</v>
      </c>
      <c r="L43" s="26" t="s">
        <v>68</v>
      </c>
      <c r="M43" s="42">
        <f>M41*M35</f>
        <v>4.2279999999999998</v>
      </c>
      <c r="O43" s="1"/>
    </row>
    <row r="44" spans="2:16" ht="12.75" customHeight="1">
      <c r="B44" s="15"/>
      <c r="C44" s="15"/>
      <c r="D44" s="15"/>
      <c r="E44" s="15"/>
      <c r="F44" s="15"/>
      <c r="G44" s="15"/>
      <c r="K44"/>
    </row>
    <row r="45" spans="2:16" ht="15.75">
      <c r="B45" s="90" t="s">
        <v>69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P45" s="15"/>
    </row>
    <row r="46" spans="2:16" ht="15.75">
      <c r="B46" s="119" t="s">
        <v>15</v>
      </c>
      <c r="C46" s="119"/>
      <c r="D46" s="119"/>
      <c r="E46" s="119"/>
      <c r="F46" s="119"/>
      <c r="G46" s="119"/>
      <c r="H46" s="119" t="s">
        <v>29</v>
      </c>
      <c r="I46" s="119"/>
      <c r="J46" s="119"/>
      <c r="K46" s="119"/>
      <c r="L46" s="119"/>
      <c r="M46" s="119"/>
      <c r="P46" s="15"/>
    </row>
    <row r="47" spans="2:16" ht="15.75">
      <c r="B47" s="117" t="s">
        <v>40</v>
      </c>
      <c r="C47" s="117"/>
      <c r="D47" s="43" t="s">
        <v>70</v>
      </c>
      <c r="E47" s="123" t="s">
        <v>49</v>
      </c>
      <c r="F47" s="124"/>
      <c r="G47" s="43" t="s">
        <v>70</v>
      </c>
      <c r="H47" s="117" t="s">
        <v>40</v>
      </c>
      <c r="I47" s="117"/>
      <c r="J47" s="43" t="s">
        <v>70</v>
      </c>
      <c r="K47" s="123" t="s">
        <v>49</v>
      </c>
      <c r="L47" s="124"/>
      <c r="M47" s="43" t="s">
        <v>70</v>
      </c>
      <c r="P47" s="15"/>
    </row>
    <row r="48" spans="2:16" ht="15.75" customHeight="1">
      <c r="B48" s="33" t="s">
        <v>0</v>
      </c>
      <c r="C48" s="33">
        <f>E34</f>
        <v>2.9</v>
      </c>
      <c r="D48" s="44" t="str">
        <f>IF(C48&gt;=N24,"Pass","Fail")</f>
        <v>Pass</v>
      </c>
      <c r="E48" s="26" t="s">
        <v>0</v>
      </c>
      <c r="F48" s="26">
        <f>E35</f>
        <v>5.0999999999999996</v>
      </c>
      <c r="G48" s="44" t="str">
        <f>IF(F48&gt;=N26,"Pass","Fail")</f>
        <v>Pass</v>
      </c>
      <c r="H48" s="33" t="s">
        <v>0</v>
      </c>
      <c r="I48" s="33">
        <f>K34</f>
        <v>9</v>
      </c>
      <c r="J48" s="44" t="str">
        <f>IF(I48&gt;=N28,"Pass","Fail")</f>
        <v>Fail</v>
      </c>
      <c r="K48" s="26" t="s">
        <v>0</v>
      </c>
      <c r="L48" s="26">
        <f>K35</f>
        <v>12</v>
      </c>
      <c r="M48" s="44" t="str">
        <f>IF(L48&gt;=N30,"Pass","Fail")</f>
        <v>Fail</v>
      </c>
      <c r="P48" s="15"/>
    </row>
    <row r="49" spans="2:14" ht="15.75" customHeight="1">
      <c r="B49" s="33" t="s">
        <v>55</v>
      </c>
      <c r="C49" s="33">
        <f>G34</f>
        <v>1.4</v>
      </c>
      <c r="D49" s="44" t="str">
        <f>IF(C49&gt;=P24,"Pass","Fail")</f>
        <v>Pass</v>
      </c>
      <c r="E49" s="26" t="s">
        <v>55</v>
      </c>
      <c r="F49" s="26">
        <f>G35</f>
        <v>2.4</v>
      </c>
      <c r="G49" s="44" t="str">
        <f>IF(F49&gt;=P26,"Pass","Fail")</f>
        <v>Pass</v>
      </c>
      <c r="H49" s="33" t="s">
        <v>55</v>
      </c>
      <c r="I49" s="33">
        <f>M34</f>
        <v>1.6</v>
      </c>
      <c r="J49" s="44" t="str">
        <f>IF(I49&gt;=P28,"Pass","Fail")</f>
        <v>Fail</v>
      </c>
      <c r="K49" s="26" t="s">
        <v>55</v>
      </c>
      <c r="L49" s="26">
        <f>M35</f>
        <v>2.8</v>
      </c>
      <c r="M49" s="44" t="str">
        <f>IF(L49&gt;=P30,"Pass","Fail")</f>
        <v>Pass</v>
      </c>
    </row>
    <row r="50" spans="2:14" ht="15.75">
      <c r="B50" s="33" t="s">
        <v>63</v>
      </c>
      <c r="C50" s="41">
        <f>C42</f>
        <v>3.7989999999999999</v>
      </c>
      <c r="D50" s="44" t="str">
        <f>IF(C50&gt;=N24,"Pass","Fail")</f>
        <v>Pass</v>
      </c>
      <c r="E50" s="26" t="s">
        <v>65</v>
      </c>
      <c r="F50" s="42">
        <f>G42</f>
        <v>7.7009999999999996</v>
      </c>
      <c r="G50" s="44" t="str">
        <f>IF(F50&gt;=N26,"Pass","Fail")</f>
        <v>Pass</v>
      </c>
      <c r="H50" s="33" t="s">
        <v>63</v>
      </c>
      <c r="I50" s="45">
        <f>I42</f>
        <v>11.790000000000001</v>
      </c>
      <c r="J50" s="44" t="str">
        <f>IF(I50&gt;=N28,"Pass","Fail")</f>
        <v>Pass</v>
      </c>
      <c r="K50" s="26" t="s">
        <v>65</v>
      </c>
      <c r="L50" s="42">
        <f>M42</f>
        <v>16.68</v>
      </c>
      <c r="M50" s="44" t="str">
        <f>IF(L50&gt;=N30,"Pass","Fail")</f>
        <v>Pass</v>
      </c>
    </row>
    <row r="51" spans="2:14" ht="15.75">
      <c r="B51" s="33" t="s">
        <v>66</v>
      </c>
      <c r="C51" s="41">
        <f>C43</f>
        <v>1.8339999999999999</v>
      </c>
      <c r="D51" s="44" t="str">
        <f>IF(C51&gt;=P24,"Pass","Fail")</f>
        <v>Pass</v>
      </c>
      <c r="E51" s="26" t="s">
        <v>68</v>
      </c>
      <c r="F51" s="42">
        <f>G43</f>
        <v>3.6239999999999997</v>
      </c>
      <c r="G51" s="44" t="str">
        <f>IF(F51&gt;=P26,"Pass","Fail")</f>
        <v>Pass</v>
      </c>
      <c r="H51" s="33" t="s">
        <v>66</v>
      </c>
      <c r="I51" s="45">
        <f>I43</f>
        <v>2.0960000000000001</v>
      </c>
      <c r="J51" s="44" t="str">
        <f>IF(I51&gt;=P28,"Pass","Fail")</f>
        <v>Pass</v>
      </c>
      <c r="K51" s="26" t="s">
        <v>68</v>
      </c>
      <c r="L51" s="42">
        <f>M43</f>
        <v>4.2279999999999998</v>
      </c>
      <c r="M51" s="44" t="str">
        <f>IF(L51&gt;=P30,"Pass","Fail")</f>
        <v>Pass</v>
      </c>
    </row>
    <row r="52" spans="2:14" ht="12" customHeight="1">
      <c r="K52"/>
    </row>
    <row r="53" spans="2:14" ht="17.25">
      <c r="B53" s="125" t="s">
        <v>71</v>
      </c>
      <c r="C53" s="125"/>
      <c r="D53" s="125"/>
      <c r="E53" s="4"/>
      <c r="F53" s="4"/>
      <c r="G53" s="4"/>
      <c r="H53" s="4"/>
      <c r="I53" s="4"/>
      <c r="J53" s="4"/>
    </row>
    <row r="54" spans="2:14" ht="15.75">
      <c r="B54" s="93" t="s">
        <v>4</v>
      </c>
      <c r="C54" s="94"/>
      <c r="D54" s="5" t="s">
        <v>5</v>
      </c>
      <c r="E54" s="93" t="s">
        <v>6</v>
      </c>
      <c r="F54" s="94"/>
      <c r="G54" s="6">
        <v>5</v>
      </c>
      <c r="H54" s="7" t="s">
        <v>7</v>
      </c>
      <c r="I54" s="95">
        <v>2</v>
      </c>
      <c r="J54" s="96"/>
    </row>
    <row r="55" spans="2:14" ht="15.75">
      <c r="B55" s="126" t="s">
        <v>8</v>
      </c>
      <c r="C55" s="127"/>
      <c r="D55" s="5" t="s">
        <v>9</v>
      </c>
      <c r="E55" s="93" t="s">
        <v>10</v>
      </c>
      <c r="F55" s="94"/>
      <c r="G55" s="6">
        <v>5</v>
      </c>
      <c r="H55" s="7" t="s">
        <v>11</v>
      </c>
      <c r="I55" s="97" t="s">
        <v>12</v>
      </c>
      <c r="J55" s="98"/>
    </row>
    <row r="56" spans="2:14" ht="12.75" customHeight="1"/>
    <row r="57" spans="2:14" ht="15.75">
      <c r="B57" s="87" t="s">
        <v>72</v>
      </c>
      <c r="C57" s="88"/>
      <c r="D57" s="88"/>
      <c r="E57" s="88"/>
      <c r="F57" s="88"/>
      <c r="G57" s="88"/>
      <c r="H57" s="88"/>
      <c r="I57" s="88"/>
      <c r="J57" s="88"/>
      <c r="K57" s="88"/>
      <c r="L57" s="89"/>
    </row>
    <row r="58" spans="2:14" ht="15.75">
      <c r="B58" s="100" t="s">
        <v>15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2"/>
    </row>
    <row r="59" spans="2:14" ht="15.75">
      <c r="B59" s="103" t="s">
        <v>73</v>
      </c>
      <c r="C59" s="105"/>
      <c r="D59" s="103" t="s">
        <v>74</v>
      </c>
      <c r="E59" s="105"/>
      <c r="F59" s="103" t="s">
        <v>75</v>
      </c>
      <c r="G59" s="105"/>
      <c r="H59" s="103" t="s">
        <v>76</v>
      </c>
      <c r="I59" s="105"/>
      <c r="J59" s="46" t="s">
        <v>26</v>
      </c>
      <c r="K59" s="47" t="s">
        <v>41</v>
      </c>
      <c r="L59" s="47" t="s">
        <v>50</v>
      </c>
    </row>
    <row r="60" spans="2:14" ht="15.75">
      <c r="B60" s="109">
        <v>142.5</v>
      </c>
      <c r="C60" s="108"/>
      <c r="D60" s="109">
        <v>4.5</v>
      </c>
      <c r="E60" s="108"/>
      <c r="F60" s="109">
        <v>43</v>
      </c>
      <c r="G60" s="108"/>
      <c r="H60" s="48">
        <v>10</v>
      </c>
      <c r="I60" s="49">
        <f>(B60*H60)/100</f>
        <v>14.25</v>
      </c>
      <c r="J60" s="50">
        <f>L8</f>
        <v>140.12</v>
      </c>
      <c r="K60" s="51">
        <f>N24</f>
        <v>1.8220867158288592</v>
      </c>
      <c r="L60" s="51">
        <f>N26</f>
        <v>2.4016660883644927</v>
      </c>
    </row>
    <row r="61" spans="2:14" ht="15.75">
      <c r="B61" s="100" t="s">
        <v>29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2"/>
    </row>
    <row r="62" spans="2:14" ht="15.75">
      <c r="B62" s="103" t="s">
        <v>73</v>
      </c>
      <c r="C62" s="105"/>
      <c r="D62" s="103" t="s">
        <v>74</v>
      </c>
      <c r="E62" s="105"/>
      <c r="F62" s="103" t="s">
        <v>75</v>
      </c>
      <c r="G62" s="105"/>
      <c r="H62" s="103" t="s">
        <v>76</v>
      </c>
      <c r="I62" s="105"/>
      <c r="J62" s="46" t="s">
        <v>26</v>
      </c>
      <c r="K62" s="47" t="s">
        <v>41</v>
      </c>
      <c r="L62" s="47" t="s">
        <v>50</v>
      </c>
      <c r="N62" s="52"/>
    </row>
    <row r="63" spans="2:14" ht="15.75">
      <c r="B63" s="109">
        <v>600</v>
      </c>
      <c r="C63" s="108"/>
      <c r="D63" s="109">
        <v>19.75</v>
      </c>
      <c r="E63" s="108"/>
      <c r="F63" s="109">
        <v>43</v>
      </c>
      <c r="G63" s="108"/>
      <c r="H63" s="48">
        <v>10</v>
      </c>
      <c r="I63" s="49">
        <f>(B63*H63)/100</f>
        <v>60</v>
      </c>
      <c r="J63" s="50">
        <f>L15</f>
        <v>622.88</v>
      </c>
      <c r="K63" s="49">
        <f>N28</f>
        <v>10.654576481493763</v>
      </c>
      <c r="L63" s="49">
        <f>N30</f>
        <v>14.701292460188665</v>
      </c>
    </row>
    <row r="64" spans="2:14" ht="12.75" customHeight="1"/>
    <row r="65" spans="2:15" ht="15.75">
      <c r="B65" s="90" t="s">
        <v>77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119" t="s">
        <v>15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</row>
    <row r="67" spans="2:15" ht="15.75">
      <c r="B67" s="9" t="s">
        <v>78</v>
      </c>
      <c r="C67" s="9" t="s">
        <v>79</v>
      </c>
      <c r="D67" s="9" t="s">
        <v>80</v>
      </c>
      <c r="E67" s="9" t="s">
        <v>81</v>
      </c>
      <c r="F67" s="10" t="s">
        <v>82</v>
      </c>
      <c r="G67" s="9" t="s">
        <v>83</v>
      </c>
      <c r="H67" s="131" t="s">
        <v>84</v>
      </c>
      <c r="I67" s="132"/>
      <c r="J67" s="53" t="s">
        <v>85</v>
      </c>
      <c r="K67" s="53" t="s">
        <v>86</v>
      </c>
      <c r="L67" s="90" t="s">
        <v>87</v>
      </c>
      <c r="M67" s="90"/>
      <c r="N67" s="90"/>
      <c r="O67" s="90"/>
    </row>
    <row r="68" spans="2:15" ht="15.75">
      <c r="B68" s="54">
        <f>SQRT(1/G55*(POWER(L60,2)-(G54-1)/G54*POWER(K60,2)))</f>
        <v>0.78892331693264151</v>
      </c>
      <c r="C68" s="54">
        <f>D60/SQRT(F60)</f>
        <v>0.68624356649672102</v>
      </c>
      <c r="D68" s="54">
        <f>SQRT(POWER(B68,2)+POWER(C68,2))</f>
        <v>1.0456243266862821</v>
      </c>
      <c r="E68" s="54">
        <f>C68/B68</f>
        <v>0.8698482498462049</v>
      </c>
      <c r="F68" s="55">
        <f>IF(F60&lt;15,Table15A!V7,IF(F60&lt;35,Table15A!V9,(IF(F60&lt;75,Table15A!V11,IF(F60&lt;150,Table15A!V13,Table15A!V15)))))</f>
        <v>12</v>
      </c>
      <c r="G68" s="54">
        <f>TINV((1-(1-(0.025/I54)*2)),F68)</f>
        <v>2.560032956934192</v>
      </c>
      <c r="H68" s="56">
        <f>J60-B60</f>
        <v>-2.3799999999999955</v>
      </c>
      <c r="I68" s="57">
        <f>ABS((J60-B60)/B60)*100</f>
        <v>1.670175438596488</v>
      </c>
      <c r="J68" s="58">
        <f>B60-(G68*D68)</f>
        <v>139.823167263111</v>
      </c>
      <c r="K68" s="58">
        <f>B60+(G68*D68)</f>
        <v>145.176832736889</v>
      </c>
      <c r="L68" s="128" t="str">
        <f>IF(AND(J60&gt;=J68,J60&lt;=K68),"NoStatSignificant","StatSignificant")</f>
        <v>NoStatSignificant</v>
      </c>
      <c r="M68" s="129"/>
      <c r="N68" s="130" t="str">
        <f>IF(I68&gt;=H60,"NoUserAcceptable","UserAcceptable")</f>
        <v>UserAcceptable</v>
      </c>
      <c r="O68" s="130"/>
    </row>
    <row r="69" spans="2:15" ht="15.75">
      <c r="B69" s="119" t="s">
        <v>29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</row>
    <row r="70" spans="2:15" ht="15.75">
      <c r="B70" s="47" t="s">
        <v>78</v>
      </c>
      <c r="C70" s="47" t="s">
        <v>79</v>
      </c>
      <c r="D70" s="9" t="s">
        <v>80</v>
      </c>
      <c r="E70" s="47" t="s">
        <v>81</v>
      </c>
      <c r="F70" s="59" t="s">
        <v>82</v>
      </c>
      <c r="G70" s="47" t="s">
        <v>83</v>
      </c>
      <c r="H70" s="133" t="s">
        <v>84</v>
      </c>
      <c r="I70" s="134"/>
      <c r="J70" s="46" t="s">
        <v>85</v>
      </c>
      <c r="K70" s="46" t="s">
        <v>86</v>
      </c>
      <c r="L70" s="90" t="s">
        <v>87</v>
      </c>
      <c r="M70" s="90"/>
      <c r="N70" s="90"/>
      <c r="O70" s="90"/>
    </row>
    <row r="71" spans="2:15" ht="15.75">
      <c r="B71" s="51">
        <f>SQRT(1/G55*(POWER(L63,2)-(G54-1)/G54*POWER(K63,2)))</f>
        <v>5.0062361110918463</v>
      </c>
      <c r="C71" s="51">
        <f>D63/SQRT(F63)</f>
        <v>3.0118467640689421</v>
      </c>
      <c r="D71" s="51">
        <f>SQRT(POWER(B71,2)+POWER(C71,2))</f>
        <v>5.8423985596869867</v>
      </c>
      <c r="E71" s="51">
        <f>C71/B71</f>
        <v>0.60161900022970882</v>
      </c>
      <c r="F71" s="59">
        <f>IF(F63&lt;15,Table15A!V8,IF(F63&lt;35,Table15A!V10,(IF(F63&lt;75,Table15A!V12,IF(F63&lt;150,Table15A!V14,Table15A!V16)))))</f>
        <v>7</v>
      </c>
      <c r="G71" s="51">
        <f>TINV((1-(1-(0.025/I54)*2)),F71)</f>
        <v>2.8412442474915363</v>
      </c>
      <c r="H71" s="49">
        <f>J63-B63</f>
        <v>22.879999999999995</v>
      </c>
      <c r="I71" s="50">
        <f>ABS((J63-B63)/B63)*100</f>
        <v>3.8133333333333326</v>
      </c>
      <c r="J71" s="60">
        <f>B63-(G71*D71)</f>
        <v>583.40031870073653</v>
      </c>
      <c r="K71" s="60">
        <f>B63+(G71*D71)</f>
        <v>616.59968129926347</v>
      </c>
      <c r="L71" s="128" t="str">
        <f>IF(AND(J63&gt;=J71,J63&lt;=K71),"NoStatSignificant","StatSignificant")</f>
        <v>StatSignificant</v>
      </c>
      <c r="M71" s="129"/>
      <c r="N71" s="130" t="str">
        <f>IF(I71&gt;=H63,"NoUserAcceptable","UserAcceptable")</f>
        <v>UserAcceptable</v>
      </c>
      <c r="O71" s="130"/>
    </row>
    <row r="73" spans="2:15">
      <c r="K73"/>
    </row>
    <row r="74" spans="2:15">
      <c r="K74"/>
    </row>
    <row r="75" spans="2:15">
      <c r="K75"/>
    </row>
    <row r="76" spans="2:15">
      <c r="K76"/>
    </row>
    <row r="77" spans="2:15">
      <c r="K77"/>
    </row>
  </sheetData>
  <sheetProtection password="CF7A" sheet="1" objects="1" scenarios="1"/>
  <mergeCells count="95">
    <mergeCell ref="L71:M71"/>
    <mergeCell ref="N71:O71"/>
    <mergeCell ref="B63:C63"/>
    <mergeCell ref="D63:E63"/>
    <mergeCell ref="F63:G63"/>
    <mergeCell ref="B65:O65"/>
    <mergeCell ref="B66:O66"/>
    <mergeCell ref="H67:I67"/>
    <mergeCell ref="L67:O67"/>
    <mergeCell ref="L68:M68"/>
    <mergeCell ref="N68:O68"/>
    <mergeCell ref="B69:O69"/>
    <mergeCell ref="H70:I70"/>
    <mergeCell ref="L70:O70"/>
    <mergeCell ref="B60:C60"/>
    <mergeCell ref="D60:E60"/>
    <mergeCell ref="F60:G60"/>
    <mergeCell ref="B61:L61"/>
    <mergeCell ref="B62:C62"/>
    <mergeCell ref="D62:E62"/>
    <mergeCell ref="F62:G62"/>
    <mergeCell ref="H62:I62"/>
    <mergeCell ref="B57:L57"/>
    <mergeCell ref="B58:L58"/>
    <mergeCell ref="B59:C59"/>
    <mergeCell ref="D59:E59"/>
    <mergeCell ref="F59:G59"/>
    <mergeCell ref="H59:I59"/>
    <mergeCell ref="B53:D53"/>
    <mergeCell ref="B54:C54"/>
    <mergeCell ref="E54:F54"/>
    <mergeCell ref="I54:J54"/>
    <mergeCell ref="B55:C55"/>
    <mergeCell ref="E55:F55"/>
    <mergeCell ref="I55:J55"/>
    <mergeCell ref="B45:M45"/>
    <mergeCell ref="B46:G46"/>
    <mergeCell ref="H46:M46"/>
    <mergeCell ref="B47:C47"/>
    <mergeCell ref="E47:F47"/>
    <mergeCell ref="H47:I47"/>
    <mergeCell ref="K47:L47"/>
    <mergeCell ref="B39:C39"/>
    <mergeCell ref="D39:G39"/>
    <mergeCell ref="H39:I39"/>
    <mergeCell ref="J39:M39"/>
    <mergeCell ref="K30:L30"/>
    <mergeCell ref="B32:M32"/>
    <mergeCell ref="B33:G33"/>
    <mergeCell ref="H33:M33"/>
    <mergeCell ref="B34:C34"/>
    <mergeCell ref="H34:I34"/>
    <mergeCell ref="B35:C35"/>
    <mergeCell ref="H35:I35"/>
    <mergeCell ref="B37:M37"/>
    <mergeCell ref="B38:G38"/>
    <mergeCell ref="H38:M38"/>
    <mergeCell ref="B27:P27"/>
    <mergeCell ref="B28:D28"/>
    <mergeCell ref="I28:J28"/>
    <mergeCell ref="K28:L28"/>
    <mergeCell ref="B29:D29"/>
    <mergeCell ref="H29:H30"/>
    <mergeCell ref="I29:J29"/>
    <mergeCell ref="K29:L29"/>
    <mergeCell ref="B30:D30"/>
    <mergeCell ref="I30:J30"/>
    <mergeCell ref="B25:D25"/>
    <mergeCell ref="H25:H26"/>
    <mergeCell ref="I25:J25"/>
    <mergeCell ref="K25:L25"/>
    <mergeCell ref="B26:D26"/>
    <mergeCell ref="I26:J26"/>
    <mergeCell ref="K26:L26"/>
    <mergeCell ref="B22:P22"/>
    <mergeCell ref="B23:D23"/>
    <mergeCell ref="H23:J23"/>
    <mergeCell ref="K23:P23"/>
    <mergeCell ref="B24:D24"/>
    <mergeCell ref="I24:J24"/>
    <mergeCell ref="K24:L24"/>
    <mergeCell ref="B21:G21"/>
    <mergeCell ref="H21:P21"/>
    <mergeCell ref="B1:D1"/>
    <mergeCell ref="B2:C2"/>
    <mergeCell ref="E2:F2"/>
    <mergeCell ref="I2:J2"/>
    <mergeCell ref="B3:C3"/>
    <mergeCell ref="E3:F3"/>
    <mergeCell ref="I3:J3"/>
    <mergeCell ref="B5:G5"/>
    <mergeCell ref="H5:K5"/>
    <mergeCell ref="L5:O5"/>
    <mergeCell ref="B6:O6"/>
    <mergeCell ref="B13:O13"/>
  </mergeCells>
  <conditionalFormatting sqref="L68">
    <cfRule type="containsText" dxfId="13" priority="13" stopIfTrue="1" operator="containsText" text="NoStatSignificant">
      <formula>NOT(ISERROR(SEARCH("NoStatSignificant",L68)))</formula>
    </cfRule>
    <cfRule type="containsText" dxfId="12" priority="14" stopIfTrue="1" operator="containsText" text="StatSignificant">
      <formula>NOT(ISERROR(SEARCH("StatSignificant",L68)))</formula>
    </cfRule>
  </conditionalFormatting>
  <conditionalFormatting sqref="L71">
    <cfRule type="containsText" dxfId="11" priority="11" stopIfTrue="1" operator="containsText" text="NoStatSignificant">
      <formula>NOT(ISERROR(SEARCH("NoStatSignificant",L71)))</formula>
    </cfRule>
    <cfRule type="containsText" dxfId="10" priority="12" stopIfTrue="1" operator="containsText" text="StatSignificant">
      <formula>NOT(ISERROR(SEARCH("StatSignificant",L71)))</formula>
    </cfRule>
  </conditionalFormatting>
  <conditionalFormatting sqref="D48:M51">
    <cfRule type="containsText" dxfId="9" priority="9" stopIfTrue="1" operator="containsText" text="Fail">
      <formula>NOT(ISERROR(SEARCH("Fail",D48)))</formula>
    </cfRule>
    <cfRule type="containsText" dxfId="8" priority="10" stopIfTrue="1" operator="containsText" text="Pass">
      <formula>NOT(ISERROR(SEARCH("Pass",D48)))</formula>
    </cfRule>
  </conditionalFormatting>
  <conditionalFormatting sqref="C8:G12">
    <cfRule type="cellIs" dxfId="7" priority="7" stopIfTrue="1" operator="lessThan">
      <formula>$O$8</formula>
    </cfRule>
    <cfRule type="cellIs" dxfId="6" priority="8" stopIfTrue="1" operator="greaterThan">
      <formula>$N$8</formula>
    </cfRule>
  </conditionalFormatting>
  <conditionalFormatting sqref="C15:G19">
    <cfRule type="cellIs" dxfId="5" priority="5" stopIfTrue="1" operator="lessThan">
      <formula>$O$15</formula>
    </cfRule>
    <cfRule type="cellIs" dxfId="4" priority="6" stopIfTrue="1" operator="greaterThan">
      <formula>$N$15</formula>
    </cfRule>
  </conditionalFormatting>
  <conditionalFormatting sqref="N68">
    <cfRule type="containsText" dxfId="3" priority="3" stopIfTrue="1" operator="containsText" text="NoUserAcceptable">
      <formula>NOT(ISERROR(SEARCH("NoUserAcceptable",N68)))</formula>
    </cfRule>
    <cfRule type="containsText" dxfId="2" priority="4" stopIfTrue="1" operator="containsText" text="UserAcceptable">
      <formula>NOT(ISERROR(SEARCH("UserAcceptable",N68)))</formula>
    </cfRule>
  </conditionalFormatting>
  <conditionalFormatting sqref="N71">
    <cfRule type="containsText" dxfId="1" priority="1" stopIfTrue="1" operator="containsText" text="NoUserAcceptable">
      <formula>NOT(ISERROR(SEARCH("NoUserAcceptable",N71)))</formula>
    </cfRule>
    <cfRule type="containsText" dxfId="0" priority="2" stopIfTrue="1" operator="containsText" text="UserAcceptable">
      <formula>NOT(ISERROR(SEARCH("UserAcceptable",N71)))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T50"/>
  <sheetViews>
    <sheetView showGridLines="0" zoomScaleNormal="100" workbookViewId="0">
      <selection activeCell="F16" sqref="F16"/>
    </sheetView>
  </sheetViews>
  <sheetFormatPr defaultRowHeight="12.75"/>
  <cols>
    <col min="1" max="1" width="9.85546875" style="61" customWidth="1"/>
    <col min="2" max="2" width="10" style="61" customWidth="1"/>
    <col min="3" max="3" width="9.140625" style="61"/>
    <col min="4" max="4" width="16.7109375" style="61" customWidth="1"/>
    <col min="5" max="5" width="6.140625" style="61" customWidth="1"/>
    <col min="6" max="6" width="6.5703125" style="61" customWidth="1"/>
    <col min="7" max="7" width="14" style="61" bestFit="1" customWidth="1"/>
    <col min="8" max="16384" width="9.140625" style="61"/>
  </cols>
  <sheetData>
    <row r="1" spans="1:20" ht="18.75">
      <c r="B1" s="62"/>
      <c r="C1" s="62"/>
      <c r="D1" s="62"/>
      <c r="E1" s="62"/>
      <c r="F1" s="62"/>
      <c r="G1" s="62"/>
      <c r="H1" s="62"/>
      <c r="I1" s="135" t="s">
        <v>88</v>
      </c>
      <c r="J1" s="135"/>
      <c r="K1" s="62"/>
      <c r="L1" s="62"/>
      <c r="M1" s="62"/>
      <c r="N1" s="62"/>
    </row>
    <row r="2" spans="1:20" ht="42.75" customHeight="1">
      <c r="A2" s="136" t="s">
        <v>112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31.5" customHeight="1">
      <c r="A3" s="62"/>
      <c r="B3" s="62"/>
      <c r="C3" s="62"/>
      <c r="D3" s="139" t="s">
        <v>106</v>
      </c>
      <c r="E3" s="139"/>
      <c r="F3" s="139"/>
      <c r="G3" s="139"/>
      <c r="H3" s="62"/>
      <c r="I3" s="137" t="s">
        <v>89</v>
      </c>
      <c r="J3" s="138"/>
      <c r="K3" s="62"/>
      <c r="L3" s="62"/>
      <c r="M3" s="62"/>
      <c r="N3" s="62"/>
    </row>
    <row r="4" spans="1:20" ht="15.75" customHeight="1">
      <c r="A4" s="62"/>
      <c r="D4" s="147" t="s">
        <v>111</v>
      </c>
      <c r="E4" s="143" t="s">
        <v>109</v>
      </c>
      <c r="F4" s="144"/>
      <c r="G4" s="147" t="s">
        <v>107</v>
      </c>
      <c r="H4" s="62"/>
      <c r="I4" s="63" t="s">
        <v>90</v>
      </c>
      <c r="J4" s="63" t="s">
        <v>91</v>
      </c>
      <c r="K4" s="62"/>
      <c r="L4" s="62"/>
      <c r="M4" s="62"/>
      <c r="N4" s="62"/>
    </row>
    <row r="5" spans="1:20" ht="15.75" customHeight="1">
      <c r="A5"/>
      <c r="D5" s="77" t="s">
        <v>102</v>
      </c>
      <c r="E5" s="14">
        <f>INDEX(I5:I24,MATCH('EP15A-3'!E40,I5:I24,-1))</f>
        <v>1.78</v>
      </c>
      <c r="F5" s="14">
        <f>IF('EP15A-3'!E40=1,1,INDEX(I5:I24,MATCH('EP15A-3'!E40,I5:I24,-1)+1))</f>
        <v>1.62</v>
      </c>
      <c r="G5" s="12">
        <f>IF((E5-F5)/2&gt;E5-'EP15A-3'!E40,VLOOKUP(E5,I5:J24,2,FALSE),VLOOKUP(F5,I5:J24,2,FALSE))</f>
        <v>7</v>
      </c>
      <c r="H5"/>
      <c r="I5" s="85">
        <v>2.74</v>
      </c>
      <c r="J5" s="64">
        <v>5</v>
      </c>
      <c r="K5"/>
      <c r="L5"/>
      <c r="M5" s="62"/>
      <c r="N5" s="62"/>
    </row>
    <row r="6" spans="1:20" ht="15.75" customHeight="1">
      <c r="A6" s="62"/>
      <c r="D6" s="77" t="s">
        <v>103</v>
      </c>
      <c r="E6" s="14">
        <f>INDEX(I5:I24,MATCH('EP15A-3'!E41,I5:I24,-1))</f>
        <v>1.78</v>
      </c>
      <c r="F6" s="14">
        <f>IF('EP15A-3'!E41=1,1,INDEX(I5:I24,MATCH('EP15A-3'!E41,I5:I24,-1)+1))</f>
        <v>1.62</v>
      </c>
      <c r="G6" s="12">
        <f>IF((E6-F6)/2&gt;E6-'EP15A-3'!E41,VLOOKUP(E6,I5:J24,2,FALSE),VLOOKUP(F6,I5:J24,2,FALSE))</f>
        <v>7</v>
      </c>
      <c r="H6" s="62"/>
      <c r="I6" s="85">
        <v>2.06</v>
      </c>
      <c r="J6" s="64">
        <v>6</v>
      </c>
      <c r="K6" s="62"/>
      <c r="L6" s="62"/>
      <c r="M6" s="62"/>
      <c r="N6" s="62"/>
    </row>
    <row r="7" spans="1:20" ht="15.75">
      <c r="D7" s="77" t="s">
        <v>104</v>
      </c>
      <c r="E7" s="86">
        <f>INDEX(I5:I24,MATCH('EP15A-3'!K40,I5:I24,-1))</f>
        <v>1.37</v>
      </c>
      <c r="F7" s="86">
        <f>IF('EP15A-3'!K40=1,1,INDEX(I5:I24,MATCH('EP15A-3'!K40,I5:I24,-1)+1))</f>
        <v>1.32</v>
      </c>
      <c r="G7" s="77">
        <f>IF((E7-F7)/2&gt;E7-'EP15A-3'!K40,VLOOKUP(E7,I5:J24,2,FALSE),VLOOKUP(F7,I5:J24,2,FALSE))</f>
        <v>12</v>
      </c>
      <c r="H7" s="62"/>
      <c r="I7" s="84">
        <v>1.78</v>
      </c>
      <c r="J7" s="65">
        <v>7</v>
      </c>
      <c r="K7" s="62"/>
      <c r="L7" s="62"/>
      <c r="M7" s="62"/>
      <c r="N7" s="62"/>
    </row>
    <row r="8" spans="1:20" ht="15.75">
      <c r="A8" s="62"/>
      <c r="D8" s="77" t="s">
        <v>105</v>
      </c>
      <c r="E8" s="86">
        <f>INDEX(I5:I24,MATCH('EP15A-3'!K41,I5:I24,-1))</f>
        <v>1.78</v>
      </c>
      <c r="F8" s="86">
        <f>IF('EP15A-3'!K41=1,1,INDEX(I5:I24,MATCH('EP15A-3'!K41,I5:I24,-1)+1))</f>
        <v>1.62</v>
      </c>
      <c r="G8" s="77">
        <f>IF((E8-F8)/2&gt;E8-'EP15A-3'!K41,VLOOKUP(E8,I5:J24,2,FALSE),VLOOKUP(F8,I5:J24,2,FALSE))</f>
        <v>7</v>
      </c>
      <c r="H8" s="62"/>
      <c r="I8" s="85">
        <v>1.62</v>
      </c>
      <c r="J8" s="64">
        <v>8</v>
      </c>
      <c r="K8" s="62"/>
      <c r="L8" s="62"/>
      <c r="M8" s="62"/>
      <c r="N8" s="62"/>
    </row>
    <row r="9" spans="1:20" ht="15.75">
      <c r="A9" s="62"/>
      <c r="E9" s="62"/>
      <c r="F9" s="62"/>
      <c r="G9" s="62"/>
      <c r="H9" s="62"/>
      <c r="I9" s="85">
        <v>1.51</v>
      </c>
      <c r="J9" s="64">
        <v>9</v>
      </c>
      <c r="K9" s="62"/>
      <c r="L9" s="62"/>
      <c r="M9" s="62"/>
      <c r="N9" s="62"/>
    </row>
    <row r="10" spans="1:20" ht="15.75">
      <c r="A10" s="62"/>
      <c r="E10" s="62"/>
      <c r="F10" s="62"/>
      <c r="G10" s="62"/>
      <c r="H10" s="62"/>
      <c r="I10" s="85">
        <v>1.43</v>
      </c>
      <c r="J10" s="64">
        <v>10</v>
      </c>
      <c r="K10" s="62"/>
      <c r="L10" s="62"/>
      <c r="M10" s="62"/>
      <c r="N10" s="62"/>
    </row>
    <row r="11" spans="1:20" ht="15.75">
      <c r="A11" s="62"/>
      <c r="E11" s="62"/>
      <c r="F11" s="62"/>
      <c r="G11" s="62"/>
      <c r="H11" s="62"/>
      <c r="I11" s="85">
        <v>1.37</v>
      </c>
      <c r="J11" s="64">
        <v>11</v>
      </c>
      <c r="K11" s="62"/>
      <c r="L11" s="62"/>
      <c r="M11" s="62"/>
      <c r="N11" s="62"/>
    </row>
    <row r="12" spans="1:20" ht="15.75">
      <c r="A12" s="62"/>
      <c r="E12" s="62"/>
      <c r="F12" s="62"/>
      <c r="G12" s="62"/>
      <c r="H12" s="62"/>
      <c r="I12" s="84">
        <v>1.32</v>
      </c>
      <c r="J12" s="65">
        <v>12</v>
      </c>
      <c r="K12" s="62"/>
      <c r="L12" s="62"/>
      <c r="M12" s="62"/>
      <c r="N12" s="62"/>
    </row>
    <row r="13" spans="1:20" ht="15.75">
      <c r="A13" s="62"/>
      <c r="E13" s="62"/>
      <c r="F13" s="62"/>
      <c r="G13" s="62"/>
      <c r="H13" s="62"/>
      <c r="I13" s="85">
        <v>1.28</v>
      </c>
      <c r="J13" s="64">
        <v>13</v>
      </c>
      <c r="K13" s="62"/>
      <c r="L13" s="62"/>
      <c r="M13" s="62"/>
      <c r="N13" s="62"/>
    </row>
    <row r="14" spans="1:20" ht="15.75">
      <c r="A14" s="62"/>
      <c r="E14" s="62"/>
      <c r="F14" s="62"/>
      <c r="G14" s="62"/>
      <c r="H14" s="62"/>
      <c r="I14" s="85">
        <v>1.24</v>
      </c>
      <c r="J14" s="64">
        <v>14</v>
      </c>
      <c r="K14" s="62"/>
      <c r="L14" s="62"/>
      <c r="M14" s="62"/>
      <c r="N14" s="62"/>
    </row>
    <row r="15" spans="1:20" ht="15.75">
      <c r="A15" s="62"/>
      <c r="E15" s="62"/>
      <c r="F15" s="62"/>
      <c r="G15" s="62"/>
      <c r="H15" s="62"/>
      <c r="I15" s="85">
        <v>1.21</v>
      </c>
      <c r="J15" s="64">
        <v>15</v>
      </c>
      <c r="K15" s="62"/>
      <c r="L15" s="62"/>
      <c r="M15" s="62"/>
      <c r="N15" s="62"/>
    </row>
    <row r="16" spans="1:20" ht="15.75">
      <c r="A16" s="62"/>
      <c r="E16" s="62"/>
      <c r="F16" s="62"/>
      <c r="G16" s="62"/>
      <c r="H16" s="62"/>
      <c r="I16" s="85">
        <v>1.19</v>
      </c>
      <c r="J16" s="64">
        <v>16</v>
      </c>
      <c r="K16" s="62"/>
      <c r="L16" s="62"/>
      <c r="M16" s="62"/>
      <c r="N16" s="62"/>
    </row>
    <row r="17" spans="1:14" ht="15.75">
      <c r="A17" s="62"/>
      <c r="E17" s="62"/>
      <c r="F17" s="62"/>
      <c r="G17" s="62"/>
      <c r="H17" s="62"/>
      <c r="I17" s="85">
        <v>1.1599999999999999</v>
      </c>
      <c r="J17" s="64">
        <v>17</v>
      </c>
      <c r="K17" s="62"/>
      <c r="L17" s="62"/>
      <c r="M17" s="62"/>
      <c r="N17" s="62"/>
    </row>
    <row r="18" spans="1:14" ht="15.75">
      <c r="A18" s="62"/>
      <c r="E18" s="62"/>
      <c r="F18" s="62"/>
      <c r="G18" s="62"/>
      <c r="H18" s="62"/>
      <c r="I18" s="85">
        <v>1.1399999999999999</v>
      </c>
      <c r="J18" s="64">
        <v>18</v>
      </c>
      <c r="K18" s="62"/>
      <c r="L18" s="62"/>
      <c r="M18" s="62"/>
      <c r="N18" s="62"/>
    </row>
    <row r="19" spans="1:14" ht="15.75">
      <c r="A19" s="62"/>
      <c r="E19" s="62"/>
      <c r="F19" s="62"/>
      <c r="G19" s="62"/>
      <c r="H19" s="62"/>
      <c r="I19" s="85">
        <v>1.1200000000000001</v>
      </c>
      <c r="J19" s="64">
        <v>19</v>
      </c>
      <c r="K19" s="62"/>
      <c r="L19" s="62"/>
      <c r="M19" s="62"/>
      <c r="N19" s="62"/>
    </row>
    <row r="20" spans="1:14" ht="15.75">
      <c r="A20" s="62"/>
      <c r="E20" s="62"/>
      <c r="F20" s="62"/>
      <c r="G20" s="62"/>
      <c r="H20" s="62"/>
      <c r="I20" s="85">
        <v>1.1000000000000001</v>
      </c>
      <c r="J20" s="64">
        <v>20</v>
      </c>
      <c r="K20" s="62"/>
      <c r="L20" s="62"/>
      <c r="M20" s="62"/>
      <c r="N20" s="62"/>
    </row>
    <row r="21" spans="1:14" ht="15.75">
      <c r="A21" s="62"/>
      <c r="E21" s="62"/>
      <c r="F21" s="62"/>
      <c r="G21" s="62"/>
      <c r="H21" s="62"/>
      <c r="I21" s="85">
        <v>1.08</v>
      </c>
      <c r="J21" s="64">
        <v>21</v>
      </c>
      <c r="K21" s="62"/>
      <c r="L21" s="62"/>
      <c r="M21" s="62"/>
      <c r="N21" s="62"/>
    </row>
    <row r="22" spans="1:14" ht="15.75">
      <c r="A22" s="62"/>
      <c r="E22" s="62"/>
      <c r="F22" s="62"/>
      <c r="G22" s="62"/>
      <c r="H22" s="62"/>
      <c r="I22" s="85">
        <v>1.05</v>
      </c>
      <c r="J22" s="64">
        <v>22</v>
      </c>
      <c r="K22" s="62"/>
      <c r="L22" s="62"/>
      <c r="M22" s="62"/>
      <c r="N22" s="62"/>
    </row>
    <row r="23" spans="1:14" ht="15.75">
      <c r="A23" s="62"/>
      <c r="E23" s="62"/>
      <c r="F23" s="62"/>
      <c r="G23" s="62"/>
      <c r="H23" s="62"/>
      <c r="I23" s="85">
        <v>1.03</v>
      </c>
      <c r="J23" s="64">
        <v>23</v>
      </c>
      <c r="K23" s="62"/>
      <c r="L23" s="62"/>
      <c r="M23" s="62"/>
      <c r="N23" s="62"/>
    </row>
    <row r="24" spans="1:14" ht="15.75">
      <c r="A24" s="62"/>
      <c r="E24" s="62"/>
      <c r="F24" s="62"/>
      <c r="G24" s="62"/>
      <c r="H24" s="62"/>
      <c r="I24" s="85">
        <v>1</v>
      </c>
      <c r="J24" s="64">
        <v>24</v>
      </c>
      <c r="K24" s="62"/>
      <c r="L24" s="62"/>
      <c r="M24" s="62"/>
      <c r="N24" s="62"/>
    </row>
    <row r="25" spans="1:14" ht="15.75">
      <c r="A25" s="62"/>
      <c r="E25" s="62"/>
      <c r="F25" s="62"/>
      <c r="G25" s="62"/>
      <c r="H25" s="62"/>
      <c r="K25" s="62"/>
      <c r="L25" s="62"/>
      <c r="M25" s="62"/>
      <c r="N25" s="62"/>
    </row>
    <row r="26" spans="1:14" ht="15.75">
      <c r="A26" s="62"/>
      <c r="B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15.75">
      <c r="A27" s="62"/>
      <c r="B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5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5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15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5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5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5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5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5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5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5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5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5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</sheetData>
  <sheetProtection password="CF7A" sheet="1" objects="1" scenarios="1"/>
  <mergeCells count="5">
    <mergeCell ref="I1:J1"/>
    <mergeCell ref="A2:T2"/>
    <mergeCell ref="I3:J3"/>
    <mergeCell ref="D3:G3"/>
    <mergeCell ref="E4:F4"/>
  </mergeCells>
  <pageMargins left="0.75" right="0.75" top="1" bottom="1" header="0.5" footer="0.5"/>
  <pageSetup paperSize="9" orientation="portrait" r:id="rId1"/>
  <ignoredErrors>
    <ignoredError sqref="J11 J5 J6 J7 J8 J9 J10 J17 J12 J13 J14 J15 J16 J24 J18 J19 J20 J21 J22 J23" twoDigitTextYear="1"/>
    <ignoredError sqref="E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9"/>
  <sheetViews>
    <sheetView showGridLines="0" zoomScaleNormal="100" workbookViewId="0"/>
  </sheetViews>
  <sheetFormatPr defaultRowHeight="12.75"/>
  <cols>
    <col min="1" max="1" width="9" style="61" customWidth="1"/>
    <col min="2" max="8" width="9.140625" style="61" customWidth="1"/>
    <col min="9" max="10" width="13.5703125" style="61" customWidth="1"/>
    <col min="11" max="16384" width="9.140625" style="61"/>
  </cols>
  <sheetData>
    <row r="1" spans="1:16" ht="18.75">
      <c r="C1" s="62"/>
      <c r="D1" s="62"/>
      <c r="F1" s="62"/>
      <c r="G1" s="62"/>
      <c r="H1" s="66"/>
      <c r="I1" s="67" t="s">
        <v>88</v>
      </c>
      <c r="J1" s="68"/>
    </row>
    <row r="2" spans="1:16" ht="18.75">
      <c r="C2" s="140" t="s">
        <v>92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1.1" customHeight="1">
      <c r="A3" s="62"/>
      <c r="B3" s="69"/>
      <c r="C3" s="62"/>
      <c r="D3" s="62"/>
      <c r="E3" s="62"/>
      <c r="F3" s="62"/>
      <c r="G3" s="62"/>
      <c r="H3" s="62"/>
      <c r="I3" s="62"/>
    </row>
    <row r="4" spans="1:16" ht="15.75">
      <c r="A4" s="62"/>
      <c r="H4" s="141" t="s">
        <v>93</v>
      </c>
      <c r="I4" s="143" t="s">
        <v>94</v>
      </c>
      <c r="J4" s="144"/>
    </row>
    <row r="5" spans="1:16" ht="12.75" customHeight="1">
      <c r="H5" s="142"/>
      <c r="I5" s="70">
        <v>1</v>
      </c>
      <c r="J5" s="71">
        <v>2</v>
      </c>
    </row>
    <row r="6" spans="1:16" ht="15.75">
      <c r="H6" s="72">
        <v>5</v>
      </c>
      <c r="I6" s="82">
        <v>1.49</v>
      </c>
      <c r="J6" s="82">
        <v>1.6</v>
      </c>
    </row>
    <row r="7" spans="1:16" ht="15.75">
      <c r="H7" s="73">
        <v>6</v>
      </c>
      <c r="I7" s="83">
        <v>1.45</v>
      </c>
      <c r="J7" s="83">
        <v>1.55</v>
      </c>
    </row>
    <row r="8" spans="1:16" ht="15.75">
      <c r="H8" s="65">
        <v>7</v>
      </c>
      <c r="I8" s="83">
        <v>1.42</v>
      </c>
      <c r="J8" s="84">
        <v>1.51</v>
      </c>
    </row>
    <row r="9" spans="1:16" ht="15.75">
      <c r="H9" s="73">
        <v>8</v>
      </c>
      <c r="I9" s="83">
        <v>1.39</v>
      </c>
      <c r="J9" s="83">
        <v>1.48</v>
      </c>
    </row>
    <row r="10" spans="1:16" ht="15.75">
      <c r="H10" s="73">
        <v>9</v>
      </c>
      <c r="I10" s="83">
        <v>1.37</v>
      </c>
      <c r="J10" s="83">
        <v>1.45</v>
      </c>
    </row>
    <row r="11" spans="1:16" ht="15.75">
      <c r="H11" s="73">
        <v>10</v>
      </c>
      <c r="I11" s="83">
        <v>1.35</v>
      </c>
      <c r="J11" s="83">
        <v>1.43</v>
      </c>
    </row>
    <row r="12" spans="1:16" ht="15.75">
      <c r="H12" s="73">
        <v>11</v>
      </c>
      <c r="I12" s="83">
        <v>1.34</v>
      </c>
      <c r="J12" s="83">
        <v>1.41</v>
      </c>
    </row>
    <row r="13" spans="1:16" ht="15.75">
      <c r="H13" s="65">
        <v>12</v>
      </c>
      <c r="I13" s="83">
        <v>1.32</v>
      </c>
      <c r="J13" s="84">
        <v>1.39</v>
      </c>
    </row>
    <row r="14" spans="1:16" ht="15.75">
      <c r="H14" s="73">
        <v>13</v>
      </c>
      <c r="I14" s="83">
        <v>1.31</v>
      </c>
      <c r="J14" s="83">
        <v>1.38</v>
      </c>
    </row>
    <row r="15" spans="1:16" ht="15.75">
      <c r="H15" s="73">
        <v>14</v>
      </c>
      <c r="I15" s="83">
        <v>1.3</v>
      </c>
      <c r="J15" s="83">
        <v>1.37</v>
      </c>
    </row>
    <row r="16" spans="1:16" ht="15.75">
      <c r="H16" s="73">
        <v>15</v>
      </c>
      <c r="I16" s="83">
        <v>1.29</v>
      </c>
      <c r="J16" s="83">
        <v>1.35</v>
      </c>
    </row>
    <row r="17" spans="8:10" ht="15.75">
      <c r="H17" s="73">
        <v>16</v>
      </c>
      <c r="I17" s="83">
        <v>1.28</v>
      </c>
      <c r="J17" s="83">
        <v>1.34</v>
      </c>
    </row>
    <row r="18" spans="8:10" ht="15.75">
      <c r="H18" s="73">
        <v>17</v>
      </c>
      <c r="I18" s="83">
        <v>1.27</v>
      </c>
      <c r="J18" s="83">
        <v>1.33</v>
      </c>
    </row>
    <row r="19" spans="8:10" ht="15.75">
      <c r="H19" s="73">
        <v>18</v>
      </c>
      <c r="I19" s="83">
        <v>1.27</v>
      </c>
      <c r="J19" s="83">
        <v>1.32</v>
      </c>
    </row>
    <row r="20" spans="8:10" ht="15.75">
      <c r="H20" s="73">
        <v>19</v>
      </c>
      <c r="I20" s="83">
        <v>1.26</v>
      </c>
      <c r="J20" s="83">
        <v>1.31</v>
      </c>
    </row>
    <row r="21" spans="8:10" ht="15.75">
      <c r="H21" s="65">
        <v>20</v>
      </c>
      <c r="I21" s="83">
        <v>1.25</v>
      </c>
      <c r="J21" s="84">
        <v>1.31</v>
      </c>
    </row>
    <row r="22" spans="8:10" ht="15.75">
      <c r="H22" s="73">
        <v>21</v>
      </c>
      <c r="I22" s="83">
        <v>1.25</v>
      </c>
      <c r="J22" s="83">
        <v>1.3</v>
      </c>
    </row>
    <row r="23" spans="8:10" ht="15.75">
      <c r="H23" s="73">
        <v>22</v>
      </c>
      <c r="I23" s="83">
        <v>1.24</v>
      </c>
      <c r="J23" s="83">
        <v>1.29</v>
      </c>
    </row>
    <row r="24" spans="8:10" ht="15.75">
      <c r="H24" s="73">
        <v>23</v>
      </c>
      <c r="I24" s="83">
        <v>1.24</v>
      </c>
      <c r="J24" s="83">
        <v>1.29</v>
      </c>
    </row>
    <row r="25" spans="8:10" ht="15.75">
      <c r="H25" s="73">
        <v>24</v>
      </c>
      <c r="I25" s="83">
        <v>1.23</v>
      </c>
      <c r="J25" s="83">
        <v>1.28</v>
      </c>
    </row>
    <row r="26" spans="8:10" ht="15.75">
      <c r="H26" s="73">
        <v>25</v>
      </c>
      <c r="I26" s="83">
        <v>1.23</v>
      </c>
      <c r="J26" s="83">
        <v>1.28</v>
      </c>
    </row>
    <row r="27" spans="8:10" ht="15.75">
      <c r="H27" s="73">
        <v>26</v>
      </c>
      <c r="I27" s="83">
        <v>1.22</v>
      </c>
      <c r="J27" s="83">
        <v>1.27</v>
      </c>
    </row>
    <row r="28" spans="8:10" ht="15.75">
      <c r="H28" s="73">
        <v>27</v>
      </c>
      <c r="I28" s="83">
        <v>1.22</v>
      </c>
      <c r="J28" s="83">
        <v>1.26</v>
      </c>
    </row>
    <row r="29" spans="8:10" ht="15.75">
      <c r="H29" s="73">
        <v>28</v>
      </c>
      <c r="I29" s="83">
        <v>1.22</v>
      </c>
      <c r="J29" s="83">
        <v>1.26</v>
      </c>
    </row>
    <row r="30" spans="8:10" ht="15.75">
      <c r="H30" s="73">
        <v>29</v>
      </c>
      <c r="I30" s="83">
        <v>1.21</v>
      </c>
      <c r="J30" s="83">
        <v>1.26</v>
      </c>
    </row>
    <row r="31" spans="8:10" ht="15.75">
      <c r="H31" s="73">
        <v>30</v>
      </c>
      <c r="I31" s="83">
        <v>1.21</v>
      </c>
      <c r="J31" s="83">
        <v>1.25</v>
      </c>
    </row>
    <row r="32" spans="8:10" ht="15.75">
      <c r="H32" s="73">
        <v>31</v>
      </c>
      <c r="I32" s="83">
        <v>1.2</v>
      </c>
      <c r="J32" s="83">
        <v>1.25</v>
      </c>
    </row>
    <row r="33" spans="2:10" ht="15.75">
      <c r="H33" s="73">
        <v>32</v>
      </c>
      <c r="I33" s="83">
        <v>1.2</v>
      </c>
      <c r="J33" s="83">
        <v>1.24</v>
      </c>
    </row>
    <row r="34" spans="2:10" ht="15.75">
      <c r="H34" s="73">
        <v>33</v>
      </c>
      <c r="I34" s="83">
        <v>1.2</v>
      </c>
      <c r="J34" s="83">
        <v>1.24</v>
      </c>
    </row>
    <row r="35" spans="2:10" ht="15.75">
      <c r="H35" s="73">
        <v>34</v>
      </c>
      <c r="I35" s="83">
        <v>1.2</v>
      </c>
      <c r="J35" s="83">
        <v>1.24</v>
      </c>
    </row>
    <row r="36" spans="2:10">
      <c r="E36"/>
      <c r="F36"/>
      <c r="G36"/>
      <c r="H36"/>
    </row>
    <row r="37" spans="2:10">
      <c r="E37"/>
      <c r="F37"/>
      <c r="G37"/>
      <c r="H37"/>
    </row>
    <row r="38" spans="2:10" ht="15.75">
      <c r="B38" s="62"/>
      <c r="C38" s="62"/>
      <c r="D38" s="62"/>
      <c r="E38"/>
      <c r="F38"/>
      <c r="G38"/>
      <c r="H38"/>
    </row>
    <row r="39" spans="2:10">
      <c r="B39" s="74"/>
      <c r="E39"/>
      <c r="F39"/>
      <c r="G39"/>
      <c r="H39"/>
    </row>
  </sheetData>
  <sheetProtection password="CF7A" sheet="1" objects="1" scenarios="1"/>
  <mergeCells count="3">
    <mergeCell ref="C2:P2"/>
    <mergeCell ref="H4:H5"/>
    <mergeCell ref="I4:J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V55"/>
  <sheetViews>
    <sheetView showGridLines="0" workbookViewId="0">
      <selection activeCell="P13" sqref="P13"/>
    </sheetView>
  </sheetViews>
  <sheetFormatPr defaultRowHeight="12.75"/>
  <cols>
    <col min="1" max="5" width="9.42578125" style="61" customWidth="1"/>
    <col min="6" max="6" width="9.140625" style="61"/>
    <col min="7" max="8" width="9.42578125" style="61" customWidth="1"/>
    <col min="9" max="9" width="9.140625" style="61"/>
    <col min="10" max="10" width="9.5703125" style="61" customWidth="1"/>
    <col min="11" max="17" width="9.140625" style="61"/>
    <col min="18" max="18" width="8.5703125" style="61" customWidth="1"/>
    <col min="19" max="19" width="7.5703125" style="61" customWidth="1"/>
    <col min="20" max="21" width="6.140625" style="61" bestFit="1" customWidth="1"/>
    <col min="22" max="22" width="13.42578125" style="61" bestFit="1" customWidth="1"/>
    <col min="23" max="16384" width="9.140625" style="61"/>
  </cols>
  <sheetData>
    <row r="1" spans="1:22" ht="17.25">
      <c r="B1" s="62"/>
      <c r="C1" s="62"/>
      <c r="D1" s="62"/>
      <c r="E1" s="62"/>
      <c r="F1" s="62"/>
      <c r="G1" s="62"/>
      <c r="H1" s="62"/>
      <c r="I1" s="62"/>
      <c r="J1" s="145" t="s">
        <v>88</v>
      </c>
      <c r="K1" s="145"/>
    </row>
    <row r="2" spans="1:22" ht="48" customHeight="1">
      <c r="A2" s="146" t="s">
        <v>95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2" ht="11.1" customHeight="1">
      <c r="A3" s="62"/>
    </row>
    <row r="4" spans="1:22" ht="15.75">
      <c r="A4" s="62"/>
      <c r="F4" s="143" t="s">
        <v>96</v>
      </c>
      <c r="G4" s="144"/>
      <c r="H4" s="143" t="s">
        <v>97</v>
      </c>
      <c r="I4" s="144"/>
      <c r="J4" s="143" t="s">
        <v>98</v>
      </c>
      <c r="K4" s="144"/>
      <c r="L4" s="143" t="s">
        <v>99</v>
      </c>
      <c r="M4" s="144"/>
      <c r="N4" s="143" t="s">
        <v>100</v>
      </c>
      <c r="O4" s="144"/>
      <c r="R4" s="146" t="s">
        <v>106</v>
      </c>
      <c r="S4" s="148"/>
      <c r="T4" s="148"/>
      <c r="U4" s="148"/>
      <c r="V4" s="148"/>
    </row>
    <row r="5" spans="1:22" ht="15.75">
      <c r="A5"/>
      <c r="F5" s="75" t="s">
        <v>81</v>
      </c>
      <c r="G5" s="75" t="s">
        <v>82</v>
      </c>
      <c r="H5" s="75" t="s">
        <v>81</v>
      </c>
      <c r="I5" s="75" t="s">
        <v>82</v>
      </c>
      <c r="J5" s="75" t="s">
        <v>81</v>
      </c>
      <c r="K5" s="75" t="s">
        <v>82</v>
      </c>
      <c r="L5" s="75" t="s">
        <v>81</v>
      </c>
      <c r="M5" s="75" t="s">
        <v>82</v>
      </c>
      <c r="N5" s="75" t="s">
        <v>81</v>
      </c>
      <c r="O5" s="75" t="s">
        <v>82</v>
      </c>
      <c r="R5" s="149"/>
      <c r="S5" s="149"/>
      <c r="T5" s="149"/>
      <c r="U5" s="149"/>
      <c r="V5" s="149"/>
    </row>
    <row r="6" spans="1:22" ht="15.75">
      <c r="A6"/>
      <c r="F6" s="78">
        <v>0</v>
      </c>
      <c r="G6" s="76">
        <v>4</v>
      </c>
      <c r="H6" s="78">
        <v>0</v>
      </c>
      <c r="I6" s="76">
        <v>4</v>
      </c>
      <c r="J6" s="78">
        <v>0</v>
      </c>
      <c r="K6" s="76">
        <v>4</v>
      </c>
      <c r="L6" s="78">
        <v>0</v>
      </c>
      <c r="M6" s="76">
        <v>4</v>
      </c>
      <c r="N6" s="78">
        <v>0</v>
      </c>
      <c r="O6" s="76">
        <v>4</v>
      </c>
      <c r="R6" s="147" t="s">
        <v>108</v>
      </c>
      <c r="S6" s="147" t="s">
        <v>82</v>
      </c>
      <c r="T6" s="150" t="s">
        <v>109</v>
      </c>
      <c r="U6" s="150"/>
      <c r="V6" s="147" t="s">
        <v>110</v>
      </c>
    </row>
    <row r="7" spans="1:22" ht="15.75">
      <c r="A7"/>
      <c r="F7" s="79">
        <v>0.34899999999999998</v>
      </c>
      <c r="G7" s="64">
        <v>5</v>
      </c>
      <c r="H7" s="79">
        <v>0.34599999999999997</v>
      </c>
      <c r="I7" s="64">
        <v>5</v>
      </c>
      <c r="J7" s="79">
        <v>0.34399999999999997</v>
      </c>
      <c r="K7" s="64">
        <v>5</v>
      </c>
      <c r="L7" s="79">
        <v>0.34399999999999997</v>
      </c>
      <c r="M7" s="64">
        <v>5</v>
      </c>
      <c r="N7" s="79">
        <v>0.34399999999999997</v>
      </c>
      <c r="O7" s="64">
        <v>5</v>
      </c>
      <c r="R7" s="151">
        <v>10</v>
      </c>
      <c r="S7" s="77" t="s">
        <v>15</v>
      </c>
      <c r="T7" s="152">
        <f>INDEX(F6:F18,MATCH('EP15A-3'!E68,F6:F18,1)+1)</f>
        <v>0.88600000000000001</v>
      </c>
      <c r="U7" s="152">
        <f>INDEX(F6:F18,MATCH('EP15A-3'!E68,F6:F18,1))</f>
        <v>0.79100000000000004</v>
      </c>
      <c r="V7" s="77">
        <f>IF((T7-U7)/2&gt;T7-'EP15A-3'!E68,VLOOKUP(T7,F6:G18,2,FALSE),VLOOKUP(U7,F6:G18,2,FALSE))</f>
        <v>10</v>
      </c>
    </row>
    <row r="8" spans="1:22" ht="15.75">
      <c r="A8"/>
      <c r="F8" s="79">
        <v>0.49</v>
      </c>
      <c r="G8" s="64">
        <v>6</v>
      </c>
      <c r="H8" s="79">
        <v>0.48099999999999998</v>
      </c>
      <c r="I8" s="64">
        <v>6</v>
      </c>
      <c r="J8" s="79">
        <v>0.47699999999999998</v>
      </c>
      <c r="K8" s="64">
        <v>6</v>
      </c>
      <c r="L8" s="79">
        <v>0.47499999999999998</v>
      </c>
      <c r="M8" s="64">
        <v>6</v>
      </c>
      <c r="N8" s="79">
        <v>0.47499999999999998</v>
      </c>
      <c r="O8" s="64">
        <v>6</v>
      </c>
      <c r="R8" s="151"/>
      <c r="S8" s="77" t="s">
        <v>29</v>
      </c>
      <c r="T8" s="152">
        <f>INDEX(F6:F18,MATCH('EP15A-3'!E71,F6:F18,1)+1)</f>
        <v>0.69799999999999995</v>
      </c>
      <c r="U8" s="152">
        <f>INDEX(F6:F18,MATCH('EP15A-3'!E71,F6:F18,1))</f>
        <v>0.6</v>
      </c>
      <c r="V8" s="77">
        <f>IF((T8-U8)/2&gt;T8-'EP15A-3'!E71,VLOOKUP(T8,F6:G18,2,FALSE),VLOOKUP(U8,F6:G18,2,FALSE))</f>
        <v>7</v>
      </c>
    </row>
    <row r="9" spans="1:22" ht="15.75">
      <c r="A9"/>
      <c r="F9" s="79">
        <v>0.6</v>
      </c>
      <c r="G9" s="64">
        <v>7</v>
      </c>
      <c r="H9" s="79">
        <v>0.58199999999999996</v>
      </c>
      <c r="I9" s="64">
        <v>7</v>
      </c>
      <c r="J9" s="79">
        <v>0.57299999999999995</v>
      </c>
      <c r="K9" s="64">
        <v>7</v>
      </c>
      <c r="L9" s="79">
        <v>0.57099999999999995</v>
      </c>
      <c r="M9" s="64">
        <v>7</v>
      </c>
      <c r="N9" s="79">
        <v>0.56899999999999995</v>
      </c>
      <c r="O9" s="64">
        <v>7</v>
      </c>
      <c r="R9" s="151">
        <v>20</v>
      </c>
      <c r="S9" s="77" t="s">
        <v>15</v>
      </c>
      <c r="T9" s="152">
        <f>INDEX(H6:H28,MATCH('EP15A-3'!E68,H6:H28,1)+1)</f>
        <v>0.92900000000000005</v>
      </c>
      <c r="U9" s="152">
        <f>INDEX(H6:H28,MATCH('EP15A-3'!E68,H6:H28,1))</f>
        <v>0.86899999999999999</v>
      </c>
      <c r="V9" s="77">
        <f>IF((T9-U9)/2&gt;T9-'EP15A-3'!E68,VLOOKUP(T9,H6:I28,2,FALSE),VLOOKUP(U9,H6:I28,2,FALSE))</f>
        <v>11</v>
      </c>
    </row>
    <row r="10" spans="1:22" ht="15.75">
      <c r="A10" s="62"/>
      <c r="F10" s="79">
        <v>0.69799999999999995</v>
      </c>
      <c r="G10" s="64">
        <v>8</v>
      </c>
      <c r="H10" s="79">
        <v>0.66600000000000004</v>
      </c>
      <c r="I10" s="64">
        <v>8</v>
      </c>
      <c r="J10" s="81">
        <v>0.65200000000000002</v>
      </c>
      <c r="K10" s="65">
        <v>8</v>
      </c>
      <c r="L10" s="79">
        <v>0.64700000000000002</v>
      </c>
      <c r="M10" s="64">
        <v>8</v>
      </c>
      <c r="N10" s="79">
        <v>0.64600000000000002</v>
      </c>
      <c r="O10" s="64">
        <v>8</v>
      </c>
      <c r="R10" s="151"/>
      <c r="S10" s="77" t="s">
        <v>29</v>
      </c>
      <c r="T10" s="152">
        <f>INDEX(H6:H28,MATCH('EP15A-3'!E71,H6:H28,1)+1)</f>
        <v>0.66600000000000004</v>
      </c>
      <c r="U10" s="152">
        <f>INDEX(H6:H28,MATCH('EP15A-3'!E71,H6:H28,1))</f>
        <v>0.58199999999999996</v>
      </c>
      <c r="V10" s="77">
        <f>IF((T10-U10)/2&gt;T10-'EP15A-3'!E71,VLOOKUP(T10,H6:I28,2,FALSE),VLOOKUP(U10,H6:I28,2,FALSE))</f>
        <v>7</v>
      </c>
    </row>
    <row r="11" spans="1:22" ht="15.75">
      <c r="A11"/>
      <c r="F11" s="79">
        <v>0.79100000000000004</v>
      </c>
      <c r="G11" s="64">
        <v>9</v>
      </c>
      <c r="H11" s="79">
        <v>0.73899999999999999</v>
      </c>
      <c r="I11" s="64">
        <v>9</v>
      </c>
      <c r="J11" s="79">
        <v>0.71799999999999997</v>
      </c>
      <c r="K11" s="64">
        <v>9</v>
      </c>
      <c r="L11" s="79">
        <v>0.71299999999999997</v>
      </c>
      <c r="M11" s="64">
        <v>9</v>
      </c>
      <c r="N11" s="79">
        <v>0.71</v>
      </c>
      <c r="O11" s="64">
        <v>9</v>
      </c>
      <c r="R11" s="151">
        <v>50</v>
      </c>
      <c r="S11" s="77" t="s">
        <v>15</v>
      </c>
      <c r="T11" s="152">
        <f>INDEX(J6:J34,MATCH('EP15A-3'!E68,J6:J34,1)+1)</f>
        <v>0.88</v>
      </c>
      <c r="U11" s="152">
        <f>INDEX(J6:J34,MATCH('EP15A-3'!E68,J6:J34,1))</f>
        <v>0.83099999999999996</v>
      </c>
      <c r="V11" s="77">
        <f>IF((T11-U11)/2&gt;T11-'EP15A-3'!E68,VLOOKUP(T11,J6:K34,2,FALSE),VLOOKUP(U11,J6:K34,2,FALSE))</f>
        <v>12</v>
      </c>
    </row>
    <row r="12" spans="1:22" ht="15.75">
      <c r="A12"/>
      <c r="F12" s="79">
        <v>0.88600000000000001</v>
      </c>
      <c r="G12" s="64">
        <v>10</v>
      </c>
      <c r="H12" s="79">
        <v>0.80600000000000005</v>
      </c>
      <c r="I12" s="64">
        <v>10</v>
      </c>
      <c r="J12" s="79">
        <v>0.77800000000000002</v>
      </c>
      <c r="K12" s="64">
        <v>10</v>
      </c>
      <c r="L12" s="79">
        <v>0.77</v>
      </c>
      <c r="M12" s="64">
        <v>10</v>
      </c>
      <c r="N12" s="79">
        <v>0.76600000000000001</v>
      </c>
      <c r="O12" s="64">
        <v>10</v>
      </c>
      <c r="R12" s="151"/>
      <c r="S12" s="77" t="s">
        <v>29</v>
      </c>
      <c r="T12" s="152">
        <f>INDEX(J6:J34,MATCH('EP15A-3'!E71,J6:J34,1)+1)</f>
        <v>0.65200000000000002</v>
      </c>
      <c r="U12" s="152">
        <f>INDEX(J6:J34,MATCH('EP15A-3'!E71,J6:J34,1))</f>
        <v>0.57299999999999995</v>
      </c>
      <c r="V12" s="77">
        <f>IF((T12-U12)/2&gt;T12-'EP15A-3'!E71,VLOOKUP(T12,J6:K34,2,FALSE),VLOOKUP(U12,J6:K34,2,FALSE))</f>
        <v>7</v>
      </c>
    </row>
    <row r="13" spans="1:22" ht="15.75">
      <c r="A13"/>
      <c r="F13" s="79">
        <v>0.99099999999999999</v>
      </c>
      <c r="G13" s="64">
        <v>11</v>
      </c>
      <c r="H13" s="79">
        <v>0.86899999999999999</v>
      </c>
      <c r="I13" s="64">
        <v>11</v>
      </c>
      <c r="J13" s="79">
        <v>0.83099999999999996</v>
      </c>
      <c r="K13" s="64">
        <v>11</v>
      </c>
      <c r="L13" s="79">
        <v>0.82099999999999995</v>
      </c>
      <c r="M13" s="64">
        <v>11</v>
      </c>
      <c r="N13" s="79">
        <v>0.81599999999999995</v>
      </c>
      <c r="O13" s="64">
        <v>11</v>
      </c>
      <c r="R13" s="151">
        <v>100</v>
      </c>
      <c r="S13" s="77" t="s">
        <v>15</v>
      </c>
      <c r="T13" s="152">
        <f>INDEX(L6:L35,MATCH('EP15A-3'!E68,L6:L35,1)+1)</f>
        <v>0.91</v>
      </c>
      <c r="U13" s="152">
        <f>INDEX(L6:L35,MATCH('EP15A-3'!E68,L6:L35,1))</f>
        <v>0.86699999999999999</v>
      </c>
      <c r="V13" s="77">
        <f>IF((T13-U13)/2&gt;T13-'EP15A-3'!E68,VLOOKUP(T13,L6:M35,2,FALSE),VLOOKUP(U13,L6:M35,2,FALSE))</f>
        <v>12</v>
      </c>
    </row>
    <row r="14" spans="1:22" ht="15.75">
      <c r="A14"/>
      <c r="F14" s="79">
        <v>1.1259999999999999</v>
      </c>
      <c r="G14" s="64">
        <v>12</v>
      </c>
      <c r="H14" s="79">
        <v>0.92900000000000005</v>
      </c>
      <c r="I14" s="64">
        <v>12</v>
      </c>
      <c r="J14" s="81">
        <v>0.88</v>
      </c>
      <c r="K14" s="65">
        <v>12</v>
      </c>
      <c r="L14" s="79">
        <v>0.86699999999999999</v>
      </c>
      <c r="M14" s="64">
        <v>12</v>
      </c>
      <c r="N14" s="79">
        <v>0.86099999999999999</v>
      </c>
      <c r="O14" s="64">
        <v>12</v>
      </c>
      <c r="R14" s="151"/>
      <c r="S14" s="77" t="s">
        <v>29</v>
      </c>
      <c r="T14" s="152">
        <f>INDEX(L6:L35,MATCH('EP15A-3'!E71,L6:L35,1)+1)</f>
        <v>0.64700000000000002</v>
      </c>
      <c r="U14" s="152">
        <f>INDEX(L6:L35,MATCH('EP15A-3'!E71,L6:L35,1))</f>
        <v>0.57099999999999995</v>
      </c>
      <c r="V14" s="77">
        <f>IF((T14-U14)/2&gt;T14-'EP15A-3'!E71,VLOOKUP(T14,L6:M35,2,FALSE),VLOOKUP(U14,L6:M35,2,FALSE))</f>
        <v>7</v>
      </c>
    </row>
    <row r="15" spans="1:22" ht="15.75">
      <c r="A15"/>
      <c r="F15" s="79">
        <v>1.5</v>
      </c>
      <c r="G15" s="64">
        <v>13</v>
      </c>
      <c r="H15" s="79">
        <v>0.98699999999999999</v>
      </c>
      <c r="I15" s="64">
        <v>13</v>
      </c>
      <c r="J15" s="79">
        <v>0.92500000000000004</v>
      </c>
      <c r="K15" s="64">
        <v>13</v>
      </c>
      <c r="L15" s="79">
        <v>0.91</v>
      </c>
      <c r="M15" s="64">
        <v>13</v>
      </c>
      <c r="N15" s="79">
        <v>0.90300000000000002</v>
      </c>
      <c r="O15" s="64">
        <v>13</v>
      </c>
      <c r="R15" s="151">
        <v>200</v>
      </c>
      <c r="S15" s="77" t="s">
        <v>15</v>
      </c>
      <c r="T15" s="152">
        <f>INDEX(N6:N36,MATCH('EP15A-3'!E68,N6:N36,1)+1)</f>
        <v>0.90300000000000002</v>
      </c>
      <c r="U15" s="152">
        <f>INDEX(N6:N36,MATCH('EP15A-3'!E68,N6:N36,1))</f>
        <v>0.86099999999999999</v>
      </c>
      <c r="V15" s="77">
        <f>IF((T15-U15)/2&gt;T15-'EP15A-3'!E68,VLOOKUP(T15,N6:O36,2,FALSE),VLOOKUP(U15,N6:O36,2,FALSE))</f>
        <v>12</v>
      </c>
    </row>
    <row r="16" spans="1:22" ht="15.75">
      <c r="A16" s="62"/>
      <c r="F16" s="79">
        <v>2.1749999999999998</v>
      </c>
      <c r="G16" s="64">
        <v>12</v>
      </c>
      <c r="H16" s="79">
        <v>1.0449999999999999</v>
      </c>
      <c r="I16" s="64">
        <v>14</v>
      </c>
      <c r="J16" s="79">
        <v>0.96799999999999997</v>
      </c>
      <c r="K16" s="64">
        <v>14</v>
      </c>
      <c r="L16" s="79">
        <v>0.94899999999999995</v>
      </c>
      <c r="M16" s="64">
        <v>14</v>
      </c>
      <c r="N16" s="79">
        <v>0.94099999999999995</v>
      </c>
      <c r="O16" s="64">
        <v>14</v>
      </c>
      <c r="R16" s="151"/>
      <c r="S16" s="77" t="s">
        <v>29</v>
      </c>
      <c r="T16" s="152">
        <f>INDEX(N6:N36,MATCH('EP15A-3'!E71,N6:N36,1)+1)</f>
        <v>0.64600000000000002</v>
      </c>
      <c r="U16" s="152">
        <f>INDEX(N6:N36,MATCH('EP15A-3'!E71,N6:N36,1))</f>
        <v>0.56899999999999995</v>
      </c>
      <c r="V16" s="77">
        <f>IF((T16-U16)/2&gt;T16-'EP15A-3'!E71,VLOOKUP(T16,N6:O36,2,FALSE),VLOOKUP(U16,N6:O36,2,FALSE))</f>
        <v>7</v>
      </c>
    </row>
    <row r="17" spans="6:22" ht="15.75">
      <c r="F17" s="79">
        <v>2.8319999999999999</v>
      </c>
      <c r="G17" s="64">
        <v>11</v>
      </c>
      <c r="H17" s="79">
        <v>1.1040000000000001</v>
      </c>
      <c r="I17" s="64">
        <v>15</v>
      </c>
      <c r="J17" s="79">
        <v>1.008</v>
      </c>
      <c r="K17" s="64">
        <v>15</v>
      </c>
      <c r="L17" s="79">
        <v>0.98699999999999999</v>
      </c>
      <c r="M17" s="64">
        <v>15</v>
      </c>
      <c r="N17" s="79">
        <v>0.97699999999999998</v>
      </c>
      <c r="O17" s="64">
        <v>15</v>
      </c>
    </row>
    <row r="18" spans="6:22" ht="15.75">
      <c r="F18" s="79">
        <v>4.149</v>
      </c>
      <c r="G18" s="64">
        <v>10</v>
      </c>
      <c r="H18" s="79">
        <v>1.1639999999999999</v>
      </c>
      <c r="I18" s="64">
        <v>16</v>
      </c>
      <c r="J18" s="79">
        <v>1.0469999999999999</v>
      </c>
      <c r="K18" s="64">
        <v>16</v>
      </c>
      <c r="L18" s="79">
        <v>1.022</v>
      </c>
      <c r="M18" s="64">
        <v>16</v>
      </c>
      <c r="N18" s="79">
        <v>1.01</v>
      </c>
      <c r="O18" s="64">
        <v>16</v>
      </c>
      <c r="V18" s="80"/>
    </row>
    <row r="19" spans="6:22" ht="15.75">
      <c r="F19" s="64"/>
      <c r="G19" s="64"/>
      <c r="H19" s="79">
        <v>1.2270000000000001</v>
      </c>
      <c r="I19" s="64">
        <v>17</v>
      </c>
      <c r="J19" s="79">
        <v>1.0840000000000001</v>
      </c>
      <c r="K19" s="64">
        <v>17</v>
      </c>
      <c r="L19" s="79">
        <v>1.0549999999999999</v>
      </c>
      <c r="M19" s="64">
        <v>17</v>
      </c>
      <c r="N19" s="79">
        <v>1.042</v>
      </c>
      <c r="O19" s="64">
        <v>17</v>
      </c>
    </row>
    <row r="20" spans="6:22" ht="15.75">
      <c r="F20" s="64"/>
      <c r="G20" s="64"/>
      <c r="H20" s="79">
        <v>1.2949999999999999</v>
      </c>
      <c r="I20" s="64">
        <v>18</v>
      </c>
      <c r="J20" s="79">
        <v>1.119</v>
      </c>
      <c r="K20" s="64">
        <v>18</v>
      </c>
      <c r="L20" s="79">
        <v>1.0860000000000001</v>
      </c>
      <c r="M20" s="64">
        <v>18</v>
      </c>
      <c r="N20" s="79">
        <v>1.0720000000000001</v>
      </c>
      <c r="O20" s="64">
        <v>18</v>
      </c>
    </row>
    <row r="21" spans="6:22" ht="15.75">
      <c r="F21" s="64"/>
      <c r="G21" s="64"/>
      <c r="H21" s="79">
        <v>1.369</v>
      </c>
      <c r="I21" s="64">
        <v>19</v>
      </c>
      <c r="J21" s="79">
        <v>1.1539999999999999</v>
      </c>
      <c r="K21" s="64">
        <v>19</v>
      </c>
      <c r="L21" s="79">
        <v>1.117</v>
      </c>
      <c r="M21" s="64">
        <v>19</v>
      </c>
      <c r="N21" s="79">
        <v>1.101</v>
      </c>
      <c r="O21" s="64">
        <v>19</v>
      </c>
    </row>
    <row r="22" spans="6:22" ht="15.75">
      <c r="F22" s="64"/>
      <c r="G22" s="64"/>
      <c r="H22" s="79">
        <v>1.4550000000000001</v>
      </c>
      <c r="I22" s="64">
        <v>20</v>
      </c>
      <c r="J22" s="79">
        <v>1.1879999999999999</v>
      </c>
      <c r="K22" s="64">
        <v>20</v>
      </c>
      <c r="L22" s="79">
        <v>1.1459999999999999</v>
      </c>
      <c r="M22" s="64">
        <v>20</v>
      </c>
      <c r="N22" s="79">
        <v>1.1279999999999999</v>
      </c>
      <c r="O22" s="64">
        <v>20</v>
      </c>
    </row>
    <row r="23" spans="6:22" ht="15.75">
      <c r="F23" s="64"/>
      <c r="G23" s="64"/>
      <c r="H23" s="79">
        <v>1.5609999999999999</v>
      </c>
      <c r="I23" s="64">
        <v>21</v>
      </c>
      <c r="J23" s="79">
        <v>1.2210000000000001</v>
      </c>
      <c r="K23" s="64">
        <v>21</v>
      </c>
      <c r="L23" s="79">
        <v>1.1739999999999999</v>
      </c>
      <c r="M23" s="64">
        <v>21</v>
      </c>
      <c r="N23" s="79">
        <v>1.1539999999999999</v>
      </c>
      <c r="O23" s="64">
        <v>21</v>
      </c>
    </row>
    <row r="24" spans="6:22" ht="15.75">
      <c r="F24" s="64"/>
      <c r="G24" s="64"/>
      <c r="H24" s="79">
        <v>1.7110000000000001</v>
      </c>
      <c r="I24" s="64">
        <v>22</v>
      </c>
      <c r="J24" s="79">
        <v>1.2529999999999999</v>
      </c>
      <c r="K24" s="64">
        <v>22</v>
      </c>
      <c r="L24" s="79">
        <v>1.2010000000000001</v>
      </c>
      <c r="M24" s="64">
        <v>22</v>
      </c>
      <c r="N24" s="79">
        <v>1.179</v>
      </c>
      <c r="O24" s="64">
        <v>22</v>
      </c>
    </row>
    <row r="25" spans="6:22" ht="15.75">
      <c r="F25" s="64"/>
      <c r="G25" s="64"/>
      <c r="H25" s="79">
        <v>2.1789999999999998</v>
      </c>
      <c r="I25" s="64">
        <v>23</v>
      </c>
      <c r="J25" s="79">
        <v>1.2849999999999999</v>
      </c>
      <c r="K25" s="64">
        <v>23</v>
      </c>
      <c r="L25" s="79">
        <v>1.2270000000000001</v>
      </c>
      <c r="M25" s="64">
        <v>23</v>
      </c>
      <c r="N25" s="79">
        <v>1.2030000000000001</v>
      </c>
      <c r="O25" s="64">
        <v>23</v>
      </c>
    </row>
    <row r="26" spans="6:22" ht="15.75">
      <c r="F26" s="64"/>
      <c r="G26" s="64"/>
      <c r="H26" s="79">
        <v>3.121</v>
      </c>
      <c r="I26" s="64">
        <v>22</v>
      </c>
      <c r="J26" s="79">
        <v>1.3169999999999999</v>
      </c>
      <c r="K26" s="64">
        <v>24</v>
      </c>
      <c r="L26" s="79">
        <v>1.252</v>
      </c>
      <c r="M26" s="64">
        <v>24</v>
      </c>
      <c r="N26" s="79">
        <v>1.2270000000000001</v>
      </c>
      <c r="O26" s="64">
        <v>24</v>
      </c>
    </row>
    <row r="27" spans="6:22" ht="15.75">
      <c r="F27" s="64"/>
      <c r="G27" s="64"/>
      <c r="H27" s="79">
        <v>4.07</v>
      </c>
      <c r="I27" s="64">
        <v>21</v>
      </c>
      <c r="J27" s="79">
        <v>1.3480000000000001</v>
      </c>
      <c r="K27" s="64">
        <v>25</v>
      </c>
      <c r="L27" s="79">
        <v>1.2769999999999999</v>
      </c>
      <c r="M27" s="64">
        <v>25</v>
      </c>
      <c r="N27" s="79">
        <v>1.2490000000000001</v>
      </c>
      <c r="O27" s="64">
        <v>25</v>
      </c>
    </row>
    <row r="28" spans="6:22" ht="15.75">
      <c r="F28" s="64"/>
      <c r="G28" s="64"/>
      <c r="H28" s="79">
        <v>5.99</v>
      </c>
      <c r="I28" s="64">
        <v>20</v>
      </c>
      <c r="J28" s="79">
        <v>1.379</v>
      </c>
      <c r="K28" s="64">
        <v>26</v>
      </c>
      <c r="L28" s="79">
        <v>1.3009999999999999</v>
      </c>
      <c r="M28" s="64">
        <v>26</v>
      </c>
      <c r="N28" s="79">
        <v>1.2709999999999999</v>
      </c>
      <c r="O28" s="64">
        <v>26</v>
      </c>
    </row>
    <row r="29" spans="6:22" ht="15.75">
      <c r="F29" s="64"/>
      <c r="G29" s="64"/>
      <c r="H29" s="64"/>
      <c r="I29" s="64"/>
      <c r="J29" s="79">
        <v>1.41</v>
      </c>
      <c r="K29" s="64">
        <v>27</v>
      </c>
      <c r="L29" s="79">
        <v>1.325</v>
      </c>
      <c r="M29" s="64">
        <v>27</v>
      </c>
      <c r="N29" s="79">
        <v>1.292</v>
      </c>
      <c r="O29" s="64">
        <v>27</v>
      </c>
    </row>
    <row r="30" spans="6:22" ht="15.75">
      <c r="F30" s="64"/>
      <c r="G30" s="64"/>
      <c r="H30" s="64"/>
      <c r="I30" s="64"/>
      <c r="J30" s="79">
        <v>1.4410000000000001</v>
      </c>
      <c r="K30" s="64">
        <v>28</v>
      </c>
      <c r="L30" s="79">
        <v>1.3480000000000001</v>
      </c>
      <c r="M30" s="64">
        <v>28</v>
      </c>
      <c r="N30" s="79">
        <v>1.3129999999999999</v>
      </c>
      <c r="O30" s="64">
        <v>28</v>
      </c>
    </row>
    <row r="31" spans="6:22" ht="15.75">
      <c r="F31" s="64"/>
      <c r="G31" s="64"/>
      <c r="H31" s="64"/>
      <c r="I31" s="64"/>
      <c r="J31" s="79">
        <v>1.472</v>
      </c>
      <c r="K31" s="64">
        <v>29</v>
      </c>
      <c r="L31" s="79">
        <v>1.37</v>
      </c>
      <c r="M31" s="64">
        <v>29</v>
      </c>
      <c r="N31" s="79">
        <v>1.333</v>
      </c>
      <c r="O31" s="64">
        <v>29</v>
      </c>
    </row>
    <row r="32" spans="6:22" ht="15.75">
      <c r="F32" s="64"/>
      <c r="G32" s="64"/>
      <c r="H32" s="64"/>
      <c r="I32" s="64"/>
      <c r="J32" s="79">
        <v>1.5029999999999999</v>
      </c>
      <c r="K32" s="64">
        <v>30</v>
      </c>
      <c r="L32" s="79">
        <v>1.393</v>
      </c>
      <c r="M32" s="64">
        <v>30</v>
      </c>
      <c r="N32" s="79">
        <v>1.3520000000000001</v>
      </c>
      <c r="O32" s="64">
        <v>30</v>
      </c>
    </row>
    <row r="33" spans="1:15" ht="15.75">
      <c r="F33" s="64"/>
      <c r="G33" s="64"/>
      <c r="H33" s="64"/>
      <c r="I33" s="64"/>
      <c r="J33" s="79">
        <v>1.85</v>
      </c>
      <c r="K33" s="64">
        <v>40</v>
      </c>
      <c r="L33" s="79">
        <v>1.5980000000000001</v>
      </c>
      <c r="M33" s="64">
        <v>40</v>
      </c>
      <c r="N33" s="79">
        <v>1.5269999999999999</v>
      </c>
      <c r="O33" s="64">
        <v>40</v>
      </c>
    </row>
    <row r="34" spans="1:15" ht="15.75">
      <c r="F34" s="64"/>
      <c r="G34" s="64"/>
      <c r="H34" s="64"/>
      <c r="I34" s="64"/>
      <c r="J34" s="79">
        <v>3.5</v>
      </c>
      <c r="K34" s="64">
        <v>53</v>
      </c>
      <c r="L34" s="79">
        <v>1.9850000000000001</v>
      </c>
      <c r="M34" s="64">
        <v>60</v>
      </c>
      <c r="N34" s="79">
        <v>1.8080000000000001</v>
      </c>
      <c r="O34" s="64">
        <v>60</v>
      </c>
    </row>
    <row r="35" spans="1:15" ht="15.75">
      <c r="F35" s="64"/>
      <c r="G35" s="64"/>
      <c r="H35" s="64"/>
      <c r="I35" s="64"/>
      <c r="J35" s="64"/>
      <c r="K35" s="64"/>
      <c r="L35" s="79">
        <v>4.9749999999999996</v>
      </c>
      <c r="M35" s="64">
        <v>103</v>
      </c>
      <c r="N35" s="79">
        <v>2.528</v>
      </c>
      <c r="O35" s="64">
        <v>120</v>
      </c>
    </row>
    <row r="36" spans="1:15" ht="15.75">
      <c r="F36" s="64"/>
      <c r="G36" s="64"/>
      <c r="H36" s="64"/>
      <c r="I36" s="64"/>
      <c r="J36" s="64"/>
      <c r="K36" s="64"/>
      <c r="L36" s="64"/>
      <c r="M36" s="64"/>
      <c r="N36" s="79">
        <v>7.0529999999999999</v>
      </c>
      <c r="O36" s="64">
        <v>203</v>
      </c>
    </row>
    <row r="37" spans="1:15" ht="15.75">
      <c r="F37" s="64" t="s">
        <v>101</v>
      </c>
      <c r="G37" s="64">
        <v>9</v>
      </c>
      <c r="H37" s="64" t="s">
        <v>101</v>
      </c>
      <c r="I37" s="64">
        <v>19</v>
      </c>
      <c r="J37" s="64" t="s">
        <v>101</v>
      </c>
      <c r="K37" s="64">
        <v>49</v>
      </c>
      <c r="L37" s="64" t="s">
        <v>101</v>
      </c>
      <c r="M37" s="64">
        <v>99</v>
      </c>
      <c r="N37" s="64" t="s">
        <v>101</v>
      </c>
      <c r="O37" s="64">
        <v>199</v>
      </c>
    </row>
    <row r="48" spans="1: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>
      <c r="A55"/>
      <c r="B55"/>
      <c r="C55"/>
      <c r="D55"/>
      <c r="E55"/>
      <c r="F55"/>
      <c r="G55"/>
      <c r="H55"/>
      <c r="I55"/>
      <c r="J55"/>
      <c r="K55"/>
      <c r="L55"/>
      <c r="M55"/>
    </row>
  </sheetData>
  <sheetProtection password="CF7A" sheet="1" objects="1" scenarios="1"/>
  <mergeCells count="14">
    <mergeCell ref="J1:K1"/>
    <mergeCell ref="A2:T2"/>
    <mergeCell ref="F4:G4"/>
    <mergeCell ref="H4:I4"/>
    <mergeCell ref="J4:K4"/>
    <mergeCell ref="L4:M4"/>
    <mergeCell ref="N4:O4"/>
    <mergeCell ref="R15:R16"/>
    <mergeCell ref="R4:V5"/>
    <mergeCell ref="T6:U6"/>
    <mergeCell ref="R7:R8"/>
    <mergeCell ref="R9:R10"/>
    <mergeCell ref="R11:R12"/>
    <mergeCell ref="R13:R1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EP15A-3</vt:lpstr>
      <vt:lpstr>Table6</vt:lpstr>
      <vt:lpstr>Table7</vt:lpstr>
      <vt:lpstr>Table15A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Гена</cp:lastModifiedBy>
  <dcterms:created xsi:type="dcterms:W3CDTF">2012-10-21T10:52:00Z</dcterms:created>
  <dcterms:modified xsi:type="dcterms:W3CDTF">2016-04-16T23:31:56Z</dcterms:modified>
</cp:coreProperties>
</file>